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53" activeTab="1"/>
  </bookViews>
  <sheets>
    <sheet name="CRONOGRAMA" sheetId="1" r:id="rId1"/>
    <sheet name="ORÇAMENTO_2" sheetId="2" r:id="rId2"/>
  </sheets>
  <definedNames>
    <definedName name="_xlnm.Print_Area" localSheetId="0">'CRONOGRAMA'!$A$1:$P$30</definedName>
    <definedName name="_xlnm.Print_Area" localSheetId="1">'ORÇAMENTO_2'!$A$1:$N$113</definedName>
    <definedName name="Excel_BuiltIn_Print_Area" localSheetId="0">#REF!</definedName>
    <definedName name="Excel_BuiltIn_Print_Area" localSheetId="1">#REF!</definedName>
    <definedName name="Excel_BuiltIn_Print_Titles" localSheetId="1">#REF!</definedName>
    <definedName name="_xlnm.Print_Titles" localSheetId="1">'ORÇAMENTO_2'!$1:$10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F14" authorId="0">
      <text>
        <r>
          <rPr>
            <sz val="11"/>
            <color indexed="8"/>
            <rFont val="Calibri"/>
            <family val="2"/>
          </rPr>
          <t>Placa CAIXA: 2,00x1,25 = 2,50m²;
Placa PMP: 2,00x1,25 = 2,50m²</t>
        </r>
      </text>
    </comment>
    <comment ref="F15" authorId="0">
      <text>
        <r>
          <rPr>
            <b/>
            <sz val="9"/>
            <color indexed="8"/>
            <rFont val="Times New Roman"/>
            <family val="1"/>
          </rPr>
          <t xml:space="preserve">Autor:
</t>
        </r>
        <r>
          <rPr>
            <sz val="9"/>
            <color indexed="8"/>
            <rFont val="Times New Roman"/>
            <family val="1"/>
          </rPr>
          <t xml:space="preserve">DEVERÁ SER DEIXADO ENTRE O TAPUME E O GINÁSIO EXISTENTE, UM CORREDOR DE 2,00m DE LARGURA.
4,76+50,20 = 54,96 x 2,20 = 120,91m²
</t>
        </r>
      </text>
    </comment>
    <comment ref="F48" authorId="0">
      <text>
        <r>
          <rPr>
            <sz val="11"/>
            <color indexed="8"/>
            <rFont val="Calibri"/>
            <family val="2"/>
          </rPr>
          <t>Alambrado interno (h=1,90): 28,00 + 20,40 + 18,70 + 10,20 + 5,25 x 1,90 = 156,85m²
        COMPOSIÇÃO
74244 - ALAMBRADO PARA QUADRA POLIESPORTIVA, ESTRUTURADO POR TUBOS METALICOS GALVANIZADOS, C/ COSTURA, DIN 2440, DIAM. 2", COM TELA DE ARAME GALVANIZADO, FIO 14 BWG E MALHA QUADRADA 5X5CM.
        +
00010937 - TELA ARAME GALV REVESTIDO C/ PVC FIO 14 BWG (2,11mm) MALHA 2" (5 X 5cm)</t>
        </r>
      </text>
    </comment>
    <comment ref="F52" authorId="0">
      <text>
        <r>
          <rPr>
            <sz val="11"/>
            <color indexed="8"/>
            <rFont val="Calibri"/>
            <family val="2"/>
          </rPr>
          <t xml:space="preserve">Calha: 31,75 x 2 = 63,50m
</t>
        </r>
      </text>
    </comment>
    <comment ref="F53" authorId="0">
      <text>
        <r>
          <rPr>
            <sz val="11"/>
            <color indexed="8"/>
            <rFont val="Calibri"/>
            <family val="2"/>
          </rPr>
          <t xml:space="preserve">Tubo de queda:  2,70 x 6 = 16,20m
</t>
        </r>
      </text>
    </comment>
    <comment ref="F54" authorId="0">
      <text>
        <r>
          <rPr>
            <sz val="11"/>
            <color indexed="8"/>
            <rFont val="Calibri"/>
            <family val="2"/>
          </rPr>
          <t xml:space="preserve">32,39+(2x24,71)+10,72+9,78 = 102,31m
Vol.: 102,31 x 0,70 x 0,60 = 42,97m³ </t>
        </r>
      </text>
    </comment>
    <comment ref="F67" authorId="0">
      <text>
        <r>
          <rPr>
            <sz val="11"/>
            <color indexed="8"/>
            <rFont val="Calibri"/>
            <family val="2"/>
          </rPr>
          <t>Cabo 10mm²: 22,33 + 31,20 + 22,63 + 22,62 + 20,50 + 18,00 + 16,00 + 4,50 = 153,27m
153,27 x  4 (3 fases + 1 neutro ) + 2,50 x 4 (subida) = 623,08m</t>
        </r>
      </text>
    </comment>
    <comment ref="F76" authorId="0">
      <text>
        <r>
          <rPr>
            <sz val="11"/>
            <color indexed="8"/>
            <rFont val="Calibri"/>
            <family val="2"/>
          </rPr>
          <t xml:space="preserve">Ver prancha 12/12
Eletroduto corrugado helicoidal: 22,33 + 34,20 + 22,63 + 22,62 = 98,78m
</t>
        </r>
      </text>
    </comment>
    <comment ref="F92" authorId="0">
      <text>
        <r>
          <rPr>
            <sz val="11"/>
            <color indexed="8"/>
            <rFont val="Calibri"/>
            <family val="2"/>
          </rPr>
          <t xml:space="preserve">Eletroduto subterrâneo entre caixas: 2x(31,70+24,10) = 111,60m
Eletrodutos das descidas: 8x 2,80 = 22,40m
TOTAL: 134,00m
</t>
        </r>
      </text>
    </comment>
    <comment ref="F102" authorId="0">
      <text>
        <r>
          <rPr>
            <sz val="11"/>
            <color indexed="8"/>
            <rFont val="Calibri"/>
            <family val="2"/>
          </rPr>
          <t xml:space="preserve">Quadras poliesportivas: 2 x 27,00 x 16,00 = 864,00m²
Quadra vólei: 18,00 x 9,00 =  162,00m²
Quadras mini-volei: 12,00 x 6,00 x 3 = 216,00
TOTAL: 1.242,00
</t>
        </r>
      </text>
    </comment>
    <comment ref="F103" authorId="0">
      <text>
        <r>
          <rPr>
            <sz val="11"/>
            <color indexed="8"/>
            <rFont val="Calibri"/>
            <family val="2"/>
          </rPr>
          <t>Área de cercamento x coeficiente de tubo 2” (composição)
3,14 x (0,05)</t>
        </r>
        <r>
          <rPr>
            <vertAlign val="superscript"/>
            <sz val="11"/>
            <color indexed="8"/>
            <rFont val="Calibri"/>
            <family val="2"/>
          </rPr>
          <t>2</t>
        </r>
        <r>
          <rPr>
            <sz val="11"/>
            <color indexed="8"/>
            <rFont val="Calibri"/>
            <family val="2"/>
          </rPr>
          <t xml:space="preserve"> x 2,00 x  (23+23+14+10) = 1,10m²
3,14 x (0,05)</t>
        </r>
        <r>
          <rPr>
            <vertAlign val="superscript"/>
            <sz val="11"/>
            <color indexed="8"/>
            <rFont val="Calibri"/>
            <family val="2"/>
          </rPr>
          <t>2</t>
        </r>
        <r>
          <rPr>
            <sz val="11"/>
            <color indexed="8"/>
            <rFont val="Calibri"/>
            <family val="2"/>
          </rPr>
          <t xml:space="preserve"> x 2,70 x (23) = 0,42m²
TOTAL: 1,52m²
</t>
        </r>
      </text>
    </comment>
    <comment ref="F104" authorId="0">
      <text>
        <r>
          <rPr>
            <sz val="11"/>
            <color indexed="8"/>
            <rFont val="Calibri"/>
            <family val="2"/>
          </rPr>
          <t>Quadras poliesportivas: 
a) futebol: 
contorno {(27,00 x 2) + (16,00 x 3)} x 2 = 204,00m
áreas (17,34 x 2) x 2 = 69,28m
circulo (18,22 x 2) = 36,44m
b)volei:
(18,00 x 2) + (9,00 x 4) =  72,00m
c) basquete:  
circulos
(10,68 x 3) x 2 = 64,08m
garrafão
(16,40 x 2) x 2 = 65,60m    
Quadra vólei: (18,00 x 2) + (9,00 x 5) =  81,00m
Quadras mini-volei: {(12,00 x 2) + (6,00 x 3)} x 3 = 126,00m
TOTAL: 718,40m</t>
        </r>
      </text>
    </comment>
  </commentList>
</comments>
</file>

<file path=xl/sharedStrings.xml><?xml version="1.0" encoding="utf-8"?>
<sst xmlns="http://schemas.openxmlformats.org/spreadsheetml/2006/main" count="364" uniqueCount="259">
  <si>
    <t>ITEM</t>
  </si>
  <si>
    <t>DESCRIMINAÇÃO</t>
  </si>
  <si>
    <t>PESO</t>
  </si>
  <si>
    <t>VALOR DO ITEM</t>
  </si>
  <si>
    <t>PARCELA 01</t>
  </si>
  <si>
    <t>PARCELA 02</t>
  </si>
  <si>
    <t>PARCELA 03</t>
  </si>
  <si>
    <t>PARCELA 04</t>
  </si>
  <si>
    <t>PARCELA 05</t>
  </si>
  <si>
    <t>TOTAL</t>
  </si>
  <si>
    <t>%</t>
  </si>
  <si>
    <t>ACUMULADO</t>
  </si>
  <si>
    <t xml:space="preserve">TOTAL DA PARCELA </t>
  </si>
  <si>
    <t>* Valor ponderado para vão de 24,00 metros, entre códigos SINAPI 73866/004 e 73866/005.     ** Valor ponderado composição SINAPI 74244 + 00010937</t>
  </si>
  <si>
    <t>6.1</t>
  </si>
  <si>
    <t>6.2</t>
  </si>
  <si>
    <t>6.3</t>
  </si>
  <si>
    <t>6.4</t>
  </si>
  <si>
    <t>6.5</t>
  </si>
  <si>
    <t>Serviços finais</t>
  </si>
  <si>
    <t>Conjunto de traves oficiais – 3,00x2,00m – para futsal, em tubo aço galvanizado 3” . Inclui requadro e redes polietileno fio 4mm.</t>
  </si>
  <si>
    <t>un</t>
  </si>
  <si>
    <t>Conjunto para vólei com postes fogo (h= 2,55m) e rede de nylon fio 2mm</t>
  </si>
  <si>
    <t>Tabelas de basquete 1,80x1,20m com aro de metal e requadro. Inclui redes de polietileno 4mm.</t>
  </si>
  <si>
    <t xml:space="preserve"> UNIDADE DE GERENCIAMENTO DE PROJETOS - UGP</t>
  </si>
  <si>
    <t>PLANILHA ORÇAMENTÁRIA</t>
  </si>
  <si>
    <t>SINAPI</t>
  </si>
  <si>
    <t>Identificação do projeto: COBERTURA DE QUADRAS EXTERNAS COLÉGIO MUNICIPAL PELOTENSE</t>
  </si>
  <si>
    <t>Data de elaboração: 2014</t>
  </si>
  <si>
    <t>Autor: Arq. PABLO CRESPI</t>
  </si>
  <si>
    <t>DNIT</t>
  </si>
  <si>
    <t>Endereço: RUA MARCÍLIO DIAS, 1597</t>
  </si>
  <si>
    <t>Ultima atualização: JANEIRO DE 2015</t>
  </si>
  <si>
    <t>DAER</t>
  </si>
  <si>
    <t xml:space="preserve"> </t>
  </si>
  <si>
    <t>ART/ RRT: 2408314</t>
  </si>
  <si>
    <t>PESQUISA</t>
  </si>
  <si>
    <t>Número de contrato: 1008.352-97</t>
  </si>
  <si>
    <t>Area da Intervenção: 2.303,75m²</t>
  </si>
  <si>
    <t>BDI:</t>
  </si>
  <si>
    <t>Observação: O detalhamento dos encargos sociais atende ao estabelecido no SINAPI do Rio Grande do Sul, para mão-de-obra horista e mensalista</t>
  </si>
  <si>
    <t>CODIGO</t>
  </si>
  <si>
    <t>DESCRIÇÃO DO SERVIÇO</t>
  </si>
  <si>
    <t>UNID.</t>
  </si>
  <si>
    <t>QUANT.</t>
  </si>
  <si>
    <t>CUSTO</t>
  </si>
  <si>
    <t>PREÇO C/ BDI</t>
  </si>
  <si>
    <t>M.O.</t>
  </si>
  <si>
    <t>MAT</t>
  </si>
  <si>
    <t>UNIT</t>
  </si>
  <si>
    <t>1.</t>
  </si>
  <si>
    <t>Serviços iniciais</t>
  </si>
  <si>
    <t>73822/001</t>
  </si>
  <si>
    <t>1.1</t>
  </si>
  <si>
    <t>Limpeza do terreno – retirada de vegetação, cercamento, equipamentos e varredura</t>
  </si>
  <si>
    <t>m²</t>
  </si>
  <si>
    <t>1.2</t>
  </si>
  <si>
    <t>Limpeza Permanente da Obra</t>
  </si>
  <si>
    <t>74209/001</t>
  </si>
  <si>
    <t>1.3</t>
  </si>
  <si>
    <t>Placa de Obra em Chapa Galvanizado 2 x 2,00x1,25m</t>
  </si>
  <si>
    <t>74220/001</t>
  </si>
  <si>
    <t>1.4</t>
  </si>
  <si>
    <t>Tapume em chapa compensada (6mm) c/ pintura - reap. 2x</t>
  </si>
  <si>
    <t>73960/001</t>
  </si>
  <si>
    <t>1.5</t>
  </si>
  <si>
    <t>Ligação provisória elétrica - canteiro obra</t>
  </si>
  <si>
    <t>unid.</t>
  </si>
  <si>
    <t>74077/003</t>
  </si>
  <si>
    <t>1.6</t>
  </si>
  <si>
    <t>Locação Convencional de Obra</t>
  </si>
  <si>
    <t>TOTAL DO ITEM</t>
  </si>
  <si>
    <t>2.</t>
  </si>
  <si>
    <t>Infra estrutura (estacas e blocos)</t>
  </si>
  <si>
    <t>2.1</t>
  </si>
  <si>
    <t>Estaca a trado (broca)  Ø30cm em concreto usinado 20MPa armado, moldada in-loco, h=8,00m – (54x)</t>
  </si>
  <si>
    <t>m</t>
  </si>
  <si>
    <t>2.2</t>
  </si>
  <si>
    <t>Corte e preparo de cabeça de estaca</t>
  </si>
  <si>
    <t>2.3</t>
  </si>
  <si>
    <t>Demolição de pavimento asfáltico para escavação de valas</t>
  </si>
  <si>
    <t>m³</t>
  </si>
  <si>
    <t>2.4</t>
  </si>
  <si>
    <t>Escavação manual de valas</t>
  </si>
  <si>
    <t>2.5</t>
  </si>
  <si>
    <t>Regularização e compactação fundo de vala, com soquete</t>
  </si>
  <si>
    <t>74164/004</t>
  </si>
  <si>
    <t>2.6</t>
  </si>
  <si>
    <t>Lastro de brita (e=5cm) compactado</t>
  </si>
  <si>
    <t>2.7</t>
  </si>
  <si>
    <t>Formas c/ tábuas 3ª p/ m² para fundações - inclui montagem e desmontagem (blocos de fundação)</t>
  </si>
  <si>
    <t>2.8</t>
  </si>
  <si>
    <t>Armaduras dos blocos de fundação</t>
  </si>
  <si>
    <t>73942/002</t>
  </si>
  <si>
    <t>2.8.1</t>
  </si>
  <si>
    <t>Armação aço CA60, 5.0mm - fornecimento, corte, dobra e colocação - incl. Perda 10%</t>
  </si>
  <si>
    <t>kg</t>
  </si>
  <si>
    <t>74254/002</t>
  </si>
  <si>
    <t>2.8.2</t>
  </si>
  <si>
    <t>Armação aço CA50, 8.0mm - fornecimento, corte, dobra e colocação</t>
  </si>
  <si>
    <t>74138/003</t>
  </si>
  <si>
    <t>2.9</t>
  </si>
  <si>
    <t>Conc. usinado, estrutural fck=25MPa inc. transporte, adensamento e acabamento. (blocos)</t>
  </si>
  <si>
    <t>2.10</t>
  </si>
  <si>
    <t>Reaterro manual com apiloamento mecânico</t>
  </si>
  <si>
    <t>3.</t>
  </si>
  <si>
    <t>Pavimentação</t>
  </si>
  <si>
    <t>3.1</t>
  </si>
  <si>
    <t>Pintura de imprimação com CM-30 sobre área de valas</t>
  </si>
  <si>
    <t>3.2</t>
  </si>
  <si>
    <t>Pintura de ligação com emulsão RR-2C</t>
  </si>
  <si>
    <t>3.3</t>
  </si>
  <si>
    <t>Fabricação e aplicação de CBUQ, cap 50/70 - e= var</t>
  </si>
  <si>
    <t>ton</t>
  </si>
  <si>
    <t>3.4</t>
  </si>
  <si>
    <t>Transporte de massa asfáltica</t>
  </si>
  <si>
    <t>m³ X km</t>
  </si>
  <si>
    <t>3.5</t>
  </si>
  <si>
    <t>Escavação manual c/ expurgo de material vegetal p/ calçada em concreto</t>
  </si>
  <si>
    <t>3.6</t>
  </si>
  <si>
    <t>Lastro de brita (e=10cm) compactado</t>
  </si>
  <si>
    <t>3.7</t>
  </si>
  <si>
    <t>Piso em concreto 20MPa e=7,0cm – incl juntas</t>
  </si>
  <si>
    <t>4.</t>
  </si>
  <si>
    <t xml:space="preserve">Estrutura Metálica </t>
  </si>
  <si>
    <t>73866/*</t>
  </si>
  <si>
    <t>4.1</t>
  </si>
  <si>
    <t>Estrutura metálica pintada, em arco, vão de 24 m, inclui brises das empenas</t>
  </si>
  <si>
    <t>75381/001</t>
  </si>
  <si>
    <t>4.2</t>
  </si>
  <si>
    <t>Telha de aço galvanizado ondulada 0,5 mm, inclui pintura - cobertura em arco</t>
  </si>
  <si>
    <t>4.3</t>
  </si>
  <si>
    <t>Telha de aço galvanizado trapezoidal 0,5 mm, inclui pintura - fechamento empenas</t>
  </si>
  <si>
    <t>74145/001</t>
  </si>
  <si>
    <t>4.4</t>
  </si>
  <si>
    <r>
      <t xml:space="preserve">Pintura </t>
    </r>
    <r>
      <rPr>
        <sz val="10"/>
        <rFont val="Arial"/>
        <family val="2"/>
      </rPr>
      <t>tinta esmalte fosco mínimo duas demãos sobre fundo anticorrosivo (fundo próprio para galvanizados), c/ pistola (ar comprimido). Inclui uma demão de anticorrosivo</t>
    </r>
  </si>
  <si>
    <t>4.5</t>
  </si>
  <si>
    <t>Telha ondulada translúcida fibra vidro de 0,6mm – inclui acessorios de fixação</t>
  </si>
  <si>
    <t>74244/**</t>
  </si>
  <si>
    <t>4.6</t>
  </si>
  <si>
    <t>Alambrado p/ quadra poliesportiva, estruturado c/ tubos de aço galvanizado, c/ costura DIN  2440, diam 2" e tela arame galv revestido com PVC, fio 14 BWG 5x5cm</t>
  </si>
  <si>
    <t>5.</t>
  </si>
  <si>
    <t>Pluvial</t>
  </si>
  <si>
    <t>5.1</t>
  </si>
  <si>
    <t>Calha metálica em chapa galvanizada nº 24 desenvolvimento 50cm</t>
  </si>
  <si>
    <t>5.2</t>
  </si>
  <si>
    <t xml:space="preserve">Tubo de queda PVC diametro 150mm </t>
  </si>
  <si>
    <t>73965/001</t>
  </si>
  <si>
    <t>5.3</t>
  </si>
  <si>
    <t>Escavação manual de valas larg. 0,70m, prof média 0,60m</t>
  </si>
  <si>
    <t>5.4</t>
  </si>
  <si>
    <t xml:space="preserve">Assentamento tubo PVC </t>
  </si>
  <si>
    <t>73840/003</t>
  </si>
  <si>
    <t>5.4.1</t>
  </si>
  <si>
    <t>Assentamento tubo PVC diametro 150mm</t>
  </si>
  <si>
    <t>73840/004</t>
  </si>
  <si>
    <t>5.4.2</t>
  </si>
  <si>
    <t>Assentamento tubo PVC diametro 200mm</t>
  </si>
  <si>
    <t>5.5</t>
  </si>
  <si>
    <t>Tubo PVC para esgoto pluvial</t>
  </si>
  <si>
    <t>5.5.1</t>
  </si>
  <si>
    <t>Tubo PVC diametro 150mm</t>
  </si>
  <si>
    <t>5.5.2</t>
  </si>
  <si>
    <t>Tubo PVC diametro 200mm</t>
  </si>
  <si>
    <t>73904/001</t>
  </si>
  <si>
    <t>5.6</t>
  </si>
  <si>
    <t>Reaterro apiloado em camadas de 20cm</t>
  </si>
  <si>
    <t>5.7</t>
  </si>
  <si>
    <t>Caixa de areia 60 x 60cm em alvenaria</t>
  </si>
  <si>
    <t>72286*</t>
  </si>
  <si>
    <t>5.8</t>
  </si>
  <si>
    <t>Recuperação/ refazimento de até 50% de caixa de areia existentes  60 x 60cm em alvenaria</t>
  </si>
  <si>
    <t>*Como a recuperação prevista das caixas de areia existente corresponderia a 50% do custo de uma nova, foi considerado metade do valor das mesmas.</t>
  </si>
  <si>
    <t>6.</t>
  </si>
  <si>
    <t>Instalações elétricas</t>
  </si>
  <si>
    <t>Cabo de cobre isolamento termoplastico 0,6/1KV 10mm², anti-chama – fornecimento e instalação (ramal de alimentação)</t>
  </si>
  <si>
    <t>73860/009</t>
  </si>
  <si>
    <t>Cabo de cobre isolado PVC 450/750V 4mm²  anti-chama, fornecimento e instalação</t>
  </si>
  <si>
    <t>74131/004</t>
  </si>
  <si>
    <t>Quadro de distribuição em chapa metálica p/ 18 disjuntores termomagneticos monopolares, com barramento trifásico e neutro – fornecimento e instalação</t>
  </si>
  <si>
    <t>Disjuntores</t>
  </si>
  <si>
    <t>74130/004</t>
  </si>
  <si>
    <t>6.4.1</t>
  </si>
  <si>
    <t>Disjuntor termomagnético tripolar padrão DIN 32A/ 240V – fornecimento e instalação.</t>
  </si>
  <si>
    <t>74130/001</t>
  </si>
  <si>
    <t>6.4.2</t>
  </si>
  <si>
    <t>Disjuntor termomagnetico monopolar padrão DIN – 20A/ 240V, fornecimento e instalação</t>
  </si>
  <si>
    <t>Haste Copperweld 5/8” X 3,0m com conector</t>
  </si>
  <si>
    <t>6.6</t>
  </si>
  <si>
    <t>Eletrodutos</t>
  </si>
  <si>
    <t>74252/001</t>
  </si>
  <si>
    <t>6.6.1</t>
  </si>
  <si>
    <t>Eletroduto de PVC rígido roscável DN 25mm (1") inclui conexões, fornecimento e instalação</t>
  </si>
  <si>
    <t>6.6.2</t>
  </si>
  <si>
    <t>Eletroduto com corrugação helicoidal, de polietileno (PEAD) 50mm (2"), inclui conexões, fornecimento e instalação</t>
  </si>
  <si>
    <t>6.7</t>
  </si>
  <si>
    <t>COT.JEA01</t>
  </si>
  <si>
    <t>6.7.1</t>
  </si>
  <si>
    <t>Perfilado perfurado galvanizado 38X38X6000mm</t>
  </si>
  <si>
    <t>COT.JEA02</t>
  </si>
  <si>
    <t>6.7.2</t>
  </si>
  <si>
    <t>Curva vertical perfilada galvanizada 38X38</t>
  </si>
  <si>
    <t>COT.JEA03</t>
  </si>
  <si>
    <t>6.7.3</t>
  </si>
  <si>
    <t>Flange perfilado 38X38</t>
  </si>
  <si>
    <t>COT.JEA04</t>
  </si>
  <si>
    <t>6.7.4</t>
  </si>
  <si>
    <t>Junção T 38X38</t>
  </si>
  <si>
    <t>6.8</t>
  </si>
  <si>
    <t>Caixa de passagem c/ tampa  50X50X60 - fundo brita</t>
  </si>
  <si>
    <t>6.9</t>
  </si>
  <si>
    <t>Luminárias</t>
  </si>
  <si>
    <t>74082/001</t>
  </si>
  <si>
    <t>6.9.1</t>
  </si>
  <si>
    <t>Refletor redondo em aluminio com suporte e alça regulável para fixação</t>
  </si>
  <si>
    <t>6.9.2</t>
  </si>
  <si>
    <t>Reator para lâmpada vapor de sódio alta pressão</t>
  </si>
  <si>
    <t>6.9.3</t>
  </si>
  <si>
    <t>Lâmpada vapor metálico 400W – fornecimento e instalação</t>
  </si>
  <si>
    <t>7.</t>
  </si>
  <si>
    <t>SPDA – Gaiola de Faraday</t>
  </si>
  <si>
    <t>7.1</t>
  </si>
  <si>
    <t>Caixa de inspeção (aterramento) 30X30X40 com tampa e dreno de brita</t>
  </si>
  <si>
    <t>7.2</t>
  </si>
  <si>
    <t>Tampa quadrada  FOFO c/ base 300 X 300mm – carga máx 2000kg p/ caixa inspeção elétrica</t>
  </si>
  <si>
    <t>7.3</t>
  </si>
  <si>
    <t>Haste Copperweld 5/8” X 3,0m c/ conector</t>
  </si>
  <si>
    <t>7.4</t>
  </si>
  <si>
    <t>7.5</t>
  </si>
  <si>
    <t>Cordoalha cabo de cobre nú 50mm²  inclui isoladores– fornecimento e aplicação</t>
  </si>
  <si>
    <t>7.6</t>
  </si>
  <si>
    <t>Cordoalha cabo de cobre nú 16mm² inclui isoladores – fornecimento e aplicação</t>
  </si>
  <si>
    <t>7.7</t>
  </si>
  <si>
    <t>Cabo de aluminio nú c/ alma de aço 4 AWG</t>
  </si>
  <si>
    <t>7.8</t>
  </si>
  <si>
    <t>Abraçadeira tipo D-2 c/ parafuso p/ eletroduto – espaçamento máx 0,60m</t>
  </si>
  <si>
    <t>7.9</t>
  </si>
  <si>
    <t>Terminal a pressão de bronze p/ cabo a barra, cabo 16mm² c/ furos p/ fixação</t>
  </si>
  <si>
    <t>7.10</t>
  </si>
  <si>
    <t>Terminal a pressão de bronze p/ cabo a barra, cabo 50mm² c/ furos p/ fixação</t>
  </si>
  <si>
    <t>7.11</t>
  </si>
  <si>
    <t>Conector prensa cabo de alumínio  p/ cabo</t>
  </si>
  <si>
    <t>8.</t>
  </si>
  <si>
    <t>Pintura Quadras</t>
  </si>
  <si>
    <t>8.1</t>
  </si>
  <si>
    <t>Pintura de quadra esportiva com tinta a base de borracha clorada – 2 demãos</t>
  </si>
  <si>
    <t>8.2</t>
  </si>
  <si>
    <t>Esmalte fosco sobre tubos metálicos, duas demão com pistola – inclui fundo anticorrosivo. Alambrado</t>
  </si>
  <si>
    <t>8.3</t>
  </si>
  <si>
    <t>Demarcação de quadra poliesportiva com tinta a base de borracha clorada, 5cm de largura – 2 demãos</t>
  </si>
  <si>
    <t>9.</t>
  </si>
  <si>
    <t>9.1</t>
  </si>
  <si>
    <t>Limpeza final de obra</t>
  </si>
  <si>
    <t>9.2</t>
  </si>
  <si>
    <t>9.3</t>
  </si>
  <si>
    <t>9.4</t>
  </si>
  <si>
    <t>Conjunto tabelas de basquete 1,80x1,20m com aro de metal e requadro. Inclui redes de polietileno 4mm.</t>
  </si>
  <si>
    <t>TOTAL GERAL</t>
  </si>
  <si>
    <t>Obs.: As ART's de orçamento são as de ns° xxxx e xxxx.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</si>
</sst>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* #,##0.00\ ;* \(#,##0.00\);* \-#\ ;@\ "/>
    <numFmt numFmtId="165" formatCode="#,##0.00;[Red]\-#,##0.00"/>
    <numFmt numFmtId="166" formatCode="&quot;R$ &quot;#,##0.00"/>
    <numFmt numFmtId="167" formatCode="#"/>
    <numFmt numFmtId="168" formatCode="0000000"/>
    <numFmt numFmtId="169" formatCode="00000000"/>
  </numFmts>
  <fonts count="66">
    <font>
      <sz val="11"/>
      <color indexed="8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2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10"/>
      <color indexed="22"/>
      <name val="Arial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color indexed="55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1"/>
      <color indexed="22"/>
      <name val="Arial"/>
      <family val="2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i/>
      <sz val="10"/>
      <name val="Arial"/>
      <family val="2"/>
    </font>
    <font>
      <i/>
      <sz val="10"/>
      <color indexed="22"/>
      <name val="Arial"/>
      <family val="2"/>
    </font>
    <font>
      <i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22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2"/>
      <color indexed="22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1" borderId="0" applyNumberFormat="0" applyBorder="0" applyAlignment="0" applyProtection="0"/>
    <xf numFmtId="0" fontId="1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7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2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</cellStyleXfs>
  <cellXfs count="165">
    <xf numFmtId="0" fontId="0" fillId="0" borderId="0" xfId="0" applyAlignment="1">
      <alignment/>
    </xf>
    <xf numFmtId="0" fontId="1" fillId="0" borderId="0" xfId="48" applyFont="1" applyBorder="1" applyAlignment="1" applyProtection="1">
      <alignment horizontal="center"/>
      <protection/>
    </xf>
    <xf numFmtId="0" fontId="1" fillId="0" borderId="0" xfId="48" applyFont="1" applyBorder="1" applyProtection="1">
      <alignment/>
      <protection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0" fontId="6" fillId="0" borderId="11" xfId="0" applyNumberFormat="1" applyFont="1" applyBorder="1" applyAlignment="1">
      <alignment vertical="center"/>
    </xf>
    <xf numFmtId="0" fontId="1" fillId="33" borderId="0" xfId="48" applyFont="1" applyFill="1" applyBorder="1" applyProtection="1">
      <alignment/>
      <protection/>
    </xf>
    <xf numFmtId="0" fontId="7" fillId="33" borderId="11" xfId="48" applyFont="1" applyFill="1" applyBorder="1" applyAlignment="1" applyProtection="1">
      <alignment horizontal="center"/>
      <protection/>
    </xf>
    <xf numFmtId="10" fontId="8" fillId="33" borderId="11" xfId="48" applyNumberFormat="1" applyFont="1" applyFill="1" applyBorder="1" applyAlignment="1" applyProtection="1">
      <alignment horizontal="center" vertical="center" wrapText="1"/>
      <protection/>
    </xf>
    <xf numFmtId="166" fontId="8" fillId="33" borderId="11" xfId="48" applyNumberFormat="1" applyFont="1" applyFill="1" applyBorder="1" applyAlignment="1" applyProtection="1">
      <alignment horizontal="right" vertical="center" wrapText="1"/>
      <protection/>
    </xf>
    <xf numFmtId="10" fontId="9" fillId="34" borderId="11" xfId="48" applyNumberFormat="1" applyFont="1" applyFill="1" applyBorder="1" applyAlignment="1" applyProtection="1">
      <alignment horizontal="center" vertical="center" wrapText="1"/>
      <protection/>
    </xf>
    <xf numFmtId="166" fontId="9" fillId="34" borderId="11" xfId="48" applyNumberFormat="1" applyFont="1" applyFill="1" applyBorder="1" applyAlignment="1" applyProtection="1">
      <alignment horizontal="right" vertical="center" wrapText="1"/>
      <protection/>
    </xf>
    <xf numFmtId="0" fontId="7" fillId="33" borderId="11" xfId="48" applyFont="1" applyFill="1" applyBorder="1" applyAlignment="1" applyProtection="1">
      <alignment vertical="center"/>
      <protection/>
    </xf>
    <xf numFmtId="10" fontId="10" fillId="33" borderId="11" xfId="48" applyNumberFormat="1" applyFont="1" applyFill="1" applyBorder="1" applyAlignment="1" applyProtection="1">
      <alignment vertical="center"/>
      <protection/>
    </xf>
    <xf numFmtId="166" fontId="10" fillId="33" borderId="11" xfId="0" applyNumberFormat="1" applyFont="1" applyFill="1" applyBorder="1" applyAlignment="1">
      <alignment vertical="center"/>
    </xf>
    <xf numFmtId="10" fontId="10" fillId="33" borderId="11" xfId="0" applyNumberFormat="1" applyFont="1" applyFill="1" applyBorder="1" applyAlignment="1">
      <alignment vertical="center"/>
    </xf>
    <xf numFmtId="166" fontId="10" fillId="33" borderId="11" xfId="48" applyNumberFormat="1" applyFont="1" applyFill="1" applyBorder="1" applyAlignment="1" applyProtection="1">
      <alignment vertical="center"/>
      <protection/>
    </xf>
    <xf numFmtId="0" fontId="1" fillId="0" borderId="0" xfId="48" applyBorder="1">
      <alignment/>
      <protection/>
    </xf>
    <xf numFmtId="0" fontId="1" fillId="33" borderId="0" xfId="48" applyFont="1" applyFill="1" applyBorder="1" applyAlignment="1" applyProtection="1">
      <alignment vertical="center"/>
      <protection/>
    </xf>
    <xf numFmtId="10" fontId="1" fillId="0" borderId="0" xfId="48" applyNumberFormat="1" applyFont="1" applyBorder="1" applyProtection="1">
      <alignment/>
      <protection/>
    </xf>
    <xf numFmtId="4" fontId="1" fillId="0" borderId="0" xfId="48" applyNumberFormat="1" applyFont="1" applyBorder="1" applyProtection="1">
      <alignment/>
      <protection/>
    </xf>
    <xf numFmtId="0" fontId="1" fillId="0" borderId="0" xfId="48" applyFont="1" applyBorder="1" applyAlignment="1" applyProtection="1">
      <alignment horizontal="center" wrapText="1"/>
      <protection/>
    </xf>
    <xf numFmtId="0" fontId="1" fillId="0" borderId="0" xfId="48" applyFont="1" applyBorder="1" applyAlignment="1" applyProtection="1">
      <alignment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35" borderId="0" xfId="0" applyFont="1" applyFill="1" applyAlignment="1">
      <alignment/>
    </xf>
    <xf numFmtId="0" fontId="5" fillId="0" borderId="11" xfId="0" applyFont="1" applyBorder="1" applyAlignment="1">
      <alignment vertical="center"/>
    </xf>
    <xf numFmtId="9" fontId="6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2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16" fillId="36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167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/>
    </xf>
    <xf numFmtId="4" fontId="8" fillId="33" borderId="11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4" fontId="17" fillId="36" borderId="11" xfId="0" applyNumberFormat="1" applyFont="1" applyFill="1" applyBorder="1" applyAlignment="1">
      <alignment/>
    </xf>
    <xf numFmtId="10" fontId="9" fillId="0" borderId="11" xfId="0" applyNumberFormat="1" applyFont="1" applyFill="1" applyBorder="1" applyAlignment="1">
      <alignment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left"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5" fillId="33" borderId="11" xfId="0" applyFont="1" applyFill="1" applyBorder="1" applyAlignment="1">
      <alignment/>
    </xf>
    <xf numFmtId="0" fontId="15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166" fontId="19" fillId="33" borderId="11" xfId="0" applyNumberFormat="1" applyFont="1" applyFill="1" applyBorder="1" applyAlignment="1">
      <alignment horizontal="center"/>
    </xf>
    <xf numFmtId="10" fontId="19" fillId="33" borderId="11" xfId="50" applyNumberFormat="1" applyFont="1" applyFill="1" applyBorder="1" applyAlignment="1" applyProtection="1">
      <alignment/>
      <protection/>
    </xf>
    <xf numFmtId="0" fontId="20" fillId="33" borderId="0" xfId="0" applyFont="1" applyFill="1" applyAlignment="1">
      <alignment/>
    </xf>
    <xf numFmtId="10" fontId="20" fillId="33" borderId="0" xfId="0" applyNumberFormat="1" applyFont="1" applyFill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1" fillId="0" borderId="0" xfId="0" applyNumberFormat="1" applyFont="1" applyFill="1" applyAlignment="1">
      <alignment horizontal="center"/>
    </xf>
    <xf numFmtId="4" fontId="9" fillId="34" borderId="11" xfId="0" applyNumberFormat="1" applyFont="1" applyFill="1" applyBorder="1" applyAlignment="1">
      <alignment/>
    </xf>
    <xf numFmtId="4" fontId="8" fillId="33" borderId="11" xfId="0" applyNumberFormat="1" applyFont="1" applyFill="1" applyBorder="1" applyAlignment="1">
      <alignment/>
    </xf>
    <xf numFmtId="4" fontId="9" fillId="34" borderId="11" xfId="0" applyNumberFormat="1" applyFont="1" applyFill="1" applyBorder="1" applyAlignment="1">
      <alignment horizontal="right"/>
    </xf>
    <xf numFmtId="10" fontId="9" fillId="34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0" fontId="7" fillId="0" borderId="11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166" fontId="25" fillId="34" borderId="11" xfId="0" applyNumberFormat="1" applyFont="1" applyFill="1" applyBorder="1" applyAlignment="1">
      <alignment horizontal="center"/>
    </xf>
    <xf numFmtId="10" fontId="25" fillId="34" borderId="11" xfId="0" applyNumberFormat="1" applyFont="1" applyFill="1" applyBorder="1" applyAlignment="1">
      <alignment/>
    </xf>
    <xf numFmtId="10" fontId="1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6" fillId="33" borderId="11" xfId="0" applyFont="1" applyFill="1" applyBorder="1" applyAlignment="1">
      <alignment/>
    </xf>
    <xf numFmtId="0" fontId="27" fillId="34" borderId="11" xfId="0" applyFont="1" applyFill="1" applyBorder="1" applyAlignment="1">
      <alignment/>
    </xf>
    <xf numFmtId="0" fontId="1" fillId="0" borderId="1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168" fontId="1" fillId="0" borderId="1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wrapText="1"/>
    </xf>
    <xf numFmtId="4" fontId="9" fillId="34" borderId="11" xfId="0" applyNumberFormat="1" applyFont="1" applyFill="1" applyBorder="1" applyAlignment="1">
      <alignment wrapText="1"/>
    </xf>
    <xf numFmtId="4" fontId="8" fillId="33" borderId="11" xfId="0" applyNumberFormat="1" applyFont="1" applyFill="1" applyBorder="1" applyAlignment="1">
      <alignment wrapText="1"/>
    </xf>
    <xf numFmtId="4" fontId="9" fillId="34" borderId="11" xfId="0" applyNumberFormat="1" applyFont="1" applyFill="1" applyBorder="1" applyAlignment="1">
      <alignment horizontal="right" wrapText="1"/>
    </xf>
    <xf numFmtId="0" fontId="11" fillId="0" borderId="15" xfId="0" applyFont="1" applyFill="1" applyBorder="1" applyAlignment="1">
      <alignment/>
    </xf>
    <xf numFmtId="10" fontId="21" fillId="34" borderId="16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justify" wrapText="1"/>
    </xf>
    <xf numFmtId="0" fontId="21" fillId="34" borderId="0" xfId="0" applyFont="1" applyFill="1" applyAlignment="1">
      <alignment/>
    </xf>
    <xf numFmtId="0" fontId="21" fillId="34" borderId="16" xfId="0" applyFont="1" applyFill="1" applyBorder="1" applyAlignment="1">
      <alignment/>
    </xf>
    <xf numFmtId="0" fontId="21" fillId="34" borderId="13" xfId="0" applyFont="1" applyFill="1" applyBorder="1" applyAlignment="1">
      <alignment/>
    </xf>
    <xf numFmtId="10" fontId="21" fillId="34" borderId="0" xfId="0" applyNumberFormat="1" applyFont="1" applyFill="1" applyAlignment="1">
      <alignment/>
    </xf>
    <xf numFmtId="169" fontId="1" fillId="0" borderId="11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wrapText="1"/>
    </xf>
    <xf numFmtId="169" fontId="1" fillId="0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28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/>
    </xf>
    <xf numFmtId="0" fontId="28" fillId="33" borderId="11" xfId="0" applyFont="1" applyFill="1" applyBorder="1" applyAlignment="1">
      <alignment/>
    </xf>
    <xf numFmtId="0" fontId="28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vertical="center"/>
    </xf>
    <xf numFmtId="10" fontId="29" fillId="33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5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33" borderId="11" xfId="48" applyFont="1" applyFill="1" applyBorder="1" applyAlignment="1" applyProtection="1">
      <alignment horizontal="center" vertical="center" wrapText="1"/>
      <protection/>
    </xf>
    <xf numFmtId="0" fontId="7" fillId="0" borderId="11" xfId="48" applyFont="1" applyBorder="1" applyAlignment="1">
      <alignment horizontal="justify" vertical="center"/>
      <protection/>
    </xf>
    <xf numFmtId="0" fontId="7" fillId="0" borderId="11" xfId="48" applyFont="1" applyBorder="1" applyAlignment="1">
      <alignment horizontal="left" vertical="center"/>
      <protection/>
    </xf>
    <xf numFmtId="10" fontId="8" fillId="33" borderId="11" xfId="48" applyNumberFormat="1" applyFont="1" applyFill="1" applyBorder="1">
      <alignment/>
      <protection/>
    </xf>
    <xf numFmtId="165" fontId="9" fillId="34" borderId="11" xfId="48" applyNumberFormat="1" applyFont="1" applyFill="1" applyBorder="1">
      <alignment/>
      <protection/>
    </xf>
    <xf numFmtId="10" fontId="8" fillId="33" borderId="11" xfId="48" applyNumberFormat="1" applyFont="1" applyFill="1" applyBorder="1" applyAlignment="1" applyProtection="1">
      <alignment horizontal="center" vertical="center" wrapText="1"/>
      <protection/>
    </xf>
    <xf numFmtId="10" fontId="9" fillId="34" borderId="11" xfId="48" applyNumberFormat="1" applyFont="1" applyFill="1" applyBorder="1" applyAlignment="1" applyProtection="1">
      <alignment horizontal="center" vertical="center" wrapText="1"/>
      <protection/>
    </xf>
    <xf numFmtId="166" fontId="9" fillId="34" borderId="11" xfId="48" applyNumberFormat="1" applyFont="1" applyFill="1" applyBorder="1" applyAlignment="1" applyProtection="1">
      <alignment horizontal="right" vertical="center" wrapText="1"/>
      <protection/>
    </xf>
    <xf numFmtId="0" fontId="7" fillId="0" borderId="11" xfId="48" applyFont="1" applyBorder="1" applyAlignment="1" applyProtection="1">
      <alignment horizontal="justify" vertical="center" wrapText="1"/>
      <protection/>
    </xf>
    <xf numFmtId="0" fontId="6" fillId="0" borderId="11" xfId="0" applyFont="1" applyBorder="1" applyAlignment="1">
      <alignment horizontal="left" vertical="center"/>
    </xf>
    <xf numFmtId="166" fontId="10" fillId="33" borderId="11" xfId="48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justify" vertical="center"/>
    </xf>
    <xf numFmtId="0" fontId="12" fillId="33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vertical="center"/>
    </xf>
    <xf numFmtId="0" fontId="13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left"/>
    </xf>
    <xf numFmtId="166" fontId="19" fillId="33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/>
    </xf>
    <xf numFmtId="0" fontId="12" fillId="33" borderId="18" xfId="0" applyFont="1" applyFill="1" applyBorder="1" applyAlignment="1">
      <alignment horizontal="left" vertical="center"/>
    </xf>
    <xf numFmtId="166" fontId="29" fillId="33" borderId="11" xfId="0" applyNumberFormat="1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1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1047750</xdr:colOff>
      <xdr:row>1</xdr:row>
      <xdr:rowOff>28575</xdr:rowOff>
    </xdr:from>
    <xdr:to>
      <xdr:col>7</xdr:col>
      <xdr:colOff>285750</xdr:colOff>
      <xdr:row>1</xdr:row>
      <xdr:rowOff>933450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90500"/>
          <a:ext cx="2714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4133850</xdr:colOff>
      <xdr:row>0</xdr:row>
      <xdr:rowOff>0</xdr:rowOff>
    </xdr:from>
    <xdr:to>
      <xdr:col>5</xdr:col>
      <xdr:colOff>142875</xdr:colOff>
      <xdr:row>0</xdr:row>
      <xdr:rowOff>800100</xdr:rowOff>
    </xdr:to>
    <xdr:sp>
      <xdr:nvSpPr>
        <xdr:cNvPr id="1" name="Imagem 2"/>
        <xdr:cNvSpPr>
          <a:spLocks/>
        </xdr:cNvSpPr>
      </xdr:nvSpPr>
      <xdr:spPr>
        <a:xfrm>
          <a:off x="5838825" y="0"/>
          <a:ext cx="2743200" cy="8001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''''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0"/>
  <sheetViews>
    <sheetView zoomScaleSheetLayoutView="55" zoomScalePageLayoutView="0" workbookViewId="0" topLeftCell="A19">
      <selection activeCell="D46" sqref="D46"/>
    </sheetView>
  </sheetViews>
  <sheetFormatPr defaultColWidth="7.7109375" defaultRowHeight="12.75" customHeight="1"/>
  <cols>
    <col min="1" max="1" width="5.7109375" style="1" customWidth="1"/>
    <col min="2" max="2" width="72.00390625" style="2" customWidth="1"/>
    <col min="3" max="3" width="9.57421875" style="2" customWidth="1"/>
    <col min="4" max="4" width="16.00390625" style="2" customWidth="1"/>
    <col min="5" max="5" width="10.7109375" style="2" customWidth="1"/>
    <col min="6" max="6" width="14.7109375" style="2" customWidth="1"/>
    <col min="7" max="7" width="10.7109375" style="2" customWidth="1"/>
    <col min="8" max="8" width="14.7109375" style="2" customWidth="1"/>
    <col min="9" max="9" width="12.421875" style="2" customWidth="1"/>
    <col min="10" max="10" width="15.28125" style="2" customWidth="1"/>
    <col min="11" max="11" width="10.7109375" style="2" customWidth="1"/>
    <col min="12" max="12" width="14.7109375" style="2" customWidth="1"/>
    <col min="13" max="13" width="10.7109375" style="2" customWidth="1"/>
    <col min="14" max="14" width="14.7109375" style="2" customWidth="1"/>
    <col min="15" max="16" width="9.140625" style="2" customWidth="1"/>
    <col min="17" max="17" width="11.8515625" style="2" customWidth="1"/>
    <col min="18" max="243" width="9.140625" style="2" customWidth="1"/>
    <col min="244" max="244" width="5.7109375" style="2" customWidth="1"/>
    <col min="245" max="245" width="30.7109375" style="2" customWidth="1"/>
    <col min="246" max="246" width="6.7109375" style="2" customWidth="1"/>
    <col min="247" max="247" width="12.421875" style="2" customWidth="1"/>
    <col min="248" max="248" width="7.7109375" style="2" customWidth="1"/>
    <col min="249" max="249" width="14.7109375" style="2" customWidth="1"/>
    <col min="250" max="250" width="7.7109375" style="2" customWidth="1"/>
    <col min="251" max="251" width="14.7109375" style="2" customWidth="1"/>
    <col min="252" max="252" width="7.7109375" style="2" customWidth="1"/>
    <col min="253" max="253" width="14.7109375" style="2" customWidth="1"/>
    <col min="254" max="254" width="7.7109375" style="2" customWidth="1"/>
    <col min="255" max="255" width="14.7109375" style="2" customWidth="1"/>
    <col min="256" max="16384" width="7.7109375" style="2" customWidth="1"/>
  </cols>
  <sheetData>
    <row r="2" spans="1:16" ht="73.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3" spans="1:16" ht="21" customHeight="1">
      <c r="A3" s="131" t="str">
        <f>ORÇAMENTO_2!A2</f>
        <v> UNIDADE DE GERENCIAMENTO DE PROJETOS - UGP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17.25" customHeight="1">
      <c r="A4" s="132" t="str">
        <f>ORÇAMENTO_2!A3</f>
        <v>PLANILHA ORÇAMENTÁRIA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15" customHeight="1">
      <c r="A5" s="133" t="str">
        <f>ORÇAMENTO_2!C4</f>
        <v>Identificação do projeto: COBERTURA DE QUADRAS EXTERNAS COLÉGIO MUNICIPAL PELOTENSE</v>
      </c>
      <c r="B5" s="133"/>
      <c r="C5" s="133"/>
      <c r="D5" s="134" t="str">
        <f>ORÇAMENTO_2!E4</f>
        <v>Data de elaboração: 2014</v>
      </c>
      <c r="E5" s="134"/>
      <c r="F5" s="134"/>
      <c r="G5" s="134"/>
      <c r="H5" s="134"/>
      <c r="I5" s="134"/>
      <c r="J5" s="134" t="str">
        <f>ORÇAMENTO_2!K4</f>
        <v>Autor: Arq. PABLO CRESPI</v>
      </c>
      <c r="K5" s="134"/>
      <c r="L5" s="134"/>
      <c r="M5" s="134"/>
      <c r="N5" s="134"/>
      <c r="O5" s="134"/>
      <c r="P5" s="134"/>
    </row>
    <row r="6" spans="1:16" ht="15" customHeight="1">
      <c r="A6" s="133" t="str">
        <f>ORÇAMENTO_2!C5</f>
        <v>Endereço: RUA MARCÍLIO DIAS, 1597</v>
      </c>
      <c r="B6" s="133"/>
      <c r="C6" s="133"/>
      <c r="D6" s="134" t="str">
        <f>ORÇAMENTO_2!E5</f>
        <v>Ultima atualização: JANEIRO DE 2015</v>
      </c>
      <c r="E6" s="134"/>
      <c r="F6" s="134"/>
      <c r="G6" s="134"/>
      <c r="H6" s="134"/>
      <c r="I6" s="134"/>
      <c r="J6" s="135"/>
      <c r="K6" s="135"/>
      <c r="L6" s="135"/>
      <c r="M6" s="135"/>
      <c r="N6" s="135"/>
      <c r="O6" s="135"/>
      <c r="P6" s="135"/>
    </row>
    <row r="7" spans="1:16" ht="15" customHeight="1">
      <c r="A7" s="133" t="str">
        <f>ORÇAMENTO_2!C6</f>
        <v> </v>
      </c>
      <c r="B7" s="133"/>
      <c r="C7" s="133"/>
      <c r="D7" s="134" t="str">
        <f>ORÇAMENTO_2!E6</f>
        <v>ART/ RRT: 2408314</v>
      </c>
      <c r="E7" s="134"/>
      <c r="F7" s="134"/>
      <c r="G7" s="134"/>
      <c r="H7" s="134"/>
      <c r="I7" s="134"/>
      <c r="J7" s="135"/>
      <c r="K7" s="135"/>
      <c r="L7" s="135"/>
      <c r="M7" s="135"/>
      <c r="N7" s="135"/>
      <c r="O7" s="135"/>
      <c r="P7" s="135"/>
    </row>
    <row r="8" spans="1:16" ht="15.75" customHeight="1">
      <c r="A8" s="133" t="str">
        <f>ORÇAMENTO_2!C7</f>
        <v>Número de contrato: 1008.352-97</v>
      </c>
      <c r="B8" s="133"/>
      <c r="C8" s="133"/>
      <c r="D8" s="134" t="str">
        <f>ORÇAMENTO_2!E7</f>
        <v>Area da Intervenção: 2.303,75m²</v>
      </c>
      <c r="E8" s="134"/>
      <c r="F8" s="134"/>
      <c r="G8" s="134"/>
      <c r="H8" s="134"/>
      <c r="I8" s="134"/>
      <c r="J8" s="4" t="str">
        <f>ORÇAMENTO_2!K7</f>
        <v>BDI:</v>
      </c>
      <c r="K8" s="5">
        <f>ORÇAMENTO_2!L7</f>
        <v>0.25</v>
      </c>
      <c r="L8" s="136"/>
      <c r="M8" s="136"/>
      <c r="N8" s="136"/>
      <c r="O8" s="136"/>
      <c r="P8" s="136"/>
    </row>
    <row r="9" spans="1:16" ht="15.75" customHeight="1">
      <c r="A9" s="134" t="str">
        <f>ORÇAMENTO_2!A8</f>
        <v>Observação: O detalhamento dos encargos sociais atende ao estabelecido no SINAPI do Rio Grande do Sul, para mão-de-obra horista e mensalista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</row>
    <row r="10" spans="1:16" s="6" customFormat="1" ht="18.75" customHeight="1">
      <c r="A10" s="137" t="s">
        <v>0</v>
      </c>
      <c r="B10" s="137" t="s">
        <v>1</v>
      </c>
      <c r="C10" s="137" t="s">
        <v>2</v>
      </c>
      <c r="D10" s="137" t="s">
        <v>3</v>
      </c>
      <c r="E10" s="137" t="s">
        <v>4</v>
      </c>
      <c r="F10" s="137"/>
      <c r="G10" s="137" t="s">
        <v>5</v>
      </c>
      <c r="H10" s="137"/>
      <c r="I10" s="137" t="s">
        <v>6</v>
      </c>
      <c r="J10" s="137"/>
      <c r="K10" s="137" t="s">
        <v>7</v>
      </c>
      <c r="L10" s="137"/>
      <c r="M10" s="137" t="s">
        <v>8</v>
      </c>
      <c r="N10" s="137"/>
      <c r="O10" s="137" t="s">
        <v>9</v>
      </c>
      <c r="P10" s="137"/>
    </row>
    <row r="11" spans="1:16" s="6" customFormat="1" ht="19.5" customHeight="1">
      <c r="A11" s="137"/>
      <c r="B11" s="137"/>
      <c r="C11" s="137"/>
      <c r="D11" s="137"/>
      <c r="E11" s="7" t="s">
        <v>10</v>
      </c>
      <c r="F11" s="7" t="s">
        <v>11</v>
      </c>
      <c r="G11" s="7" t="s">
        <v>10</v>
      </c>
      <c r="H11" s="7" t="s">
        <v>11</v>
      </c>
      <c r="I11" s="7" t="s">
        <v>10</v>
      </c>
      <c r="J11" s="7" t="s">
        <v>11</v>
      </c>
      <c r="K11" s="7" t="s">
        <v>10</v>
      </c>
      <c r="L11" s="7" t="s">
        <v>11</v>
      </c>
      <c r="M11" s="7" t="s">
        <v>10</v>
      </c>
      <c r="N11" s="7" t="s">
        <v>11</v>
      </c>
      <c r="O11" s="137"/>
      <c r="P11" s="137"/>
    </row>
    <row r="12" spans="1:16" ht="16.5" customHeight="1">
      <c r="A12" s="138" t="str">
        <f>ORÇAMENTO_2!C11</f>
        <v>1.</v>
      </c>
      <c r="B12" s="139" t="str">
        <f>ORÇAMENTO_2!D11</f>
        <v>Serviços iniciais</v>
      </c>
      <c r="C12" s="140" t="e">
        <f>ORÇAMENTO_2!N18</f>
        <v>#REF!</v>
      </c>
      <c r="D12" s="141">
        <f>ORÇAMENTO_2!L18</f>
        <v>33139.38456</v>
      </c>
      <c r="E12" s="142">
        <v>1</v>
      </c>
      <c r="F12" s="9">
        <f>D12*E12</f>
        <v>33139.38456</v>
      </c>
      <c r="G12" s="143">
        <v>0</v>
      </c>
      <c r="H12" s="11">
        <f>G12*D12</f>
        <v>0</v>
      </c>
      <c r="I12" s="142">
        <v>0</v>
      </c>
      <c r="J12" s="9">
        <f>D12*I12</f>
        <v>0</v>
      </c>
      <c r="K12" s="143">
        <v>0</v>
      </c>
      <c r="L12" s="11">
        <f>K12*D12</f>
        <v>0</v>
      </c>
      <c r="M12" s="142">
        <f>1-(E12+G12+I12+K12)</f>
        <v>0</v>
      </c>
      <c r="N12" s="9">
        <f>D12*M12</f>
        <v>0</v>
      </c>
      <c r="O12" s="144">
        <f>F12+H12+J12+L12+N12</f>
        <v>33139.38456</v>
      </c>
      <c r="P12" s="144"/>
    </row>
    <row r="13" spans="1:16" ht="16.5" customHeight="1">
      <c r="A13" s="138"/>
      <c r="B13" s="139"/>
      <c r="C13" s="140"/>
      <c r="D13" s="141"/>
      <c r="E13" s="142"/>
      <c r="F13" s="8">
        <f>E12</f>
        <v>1</v>
      </c>
      <c r="G13" s="143"/>
      <c r="H13" s="10">
        <f>F13+G12</f>
        <v>1</v>
      </c>
      <c r="I13" s="142"/>
      <c r="J13" s="8">
        <f>I12+H13</f>
        <v>1</v>
      </c>
      <c r="K13" s="143"/>
      <c r="L13" s="10">
        <f>J13+K12</f>
        <v>1</v>
      </c>
      <c r="M13" s="142"/>
      <c r="N13" s="8">
        <f>M12+L13</f>
        <v>1</v>
      </c>
      <c r="O13" s="144"/>
      <c r="P13" s="144"/>
    </row>
    <row r="14" spans="1:16" ht="16.5" customHeight="1">
      <c r="A14" s="145" t="str">
        <f>ORÇAMENTO_2!C19</f>
        <v>2.</v>
      </c>
      <c r="B14" s="146" t="str">
        <f>ORÇAMENTO_2!D19</f>
        <v>Infra estrutura (estacas e blocos)</v>
      </c>
      <c r="C14" s="140" t="e">
        <f>ORÇAMENTO_2!N32</f>
        <v>#REF!</v>
      </c>
      <c r="D14" s="141">
        <f>ORÇAMENTO_2!L32</f>
        <v>61022.2906</v>
      </c>
      <c r="E14" s="142">
        <v>0.65</v>
      </c>
      <c r="F14" s="9">
        <f>D14*E14</f>
        <v>39664.48889</v>
      </c>
      <c r="G14" s="143">
        <v>0.35</v>
      </c>
      <c r="H14" s="11">
        <f>G14*D14</f>
        <v>21357.80171</v>
      </c>
      <c r="I14" s="142">
        <v>0</v>
      </c>
      <c r="J14" s="9">
        <f>D14*I14</f>
        <v>0</v>
      </c>
      <c r="K14" s="143">
        <v>0</v>
      </c>
      <c r="L14" s="11">
        <f>K14*D14</f>
        <v>0</v>
      </c>
      <c r="M14" s="142">
        <f>1-(E14+G14+I14+K14)</f>
        <v>0</v>
      </c>
      <c r="N14" s="9">
        <f>D14*M14</f>
        <v>0</v>
      </c>
      <c r="O14" s="144">
        <f>F14+H14+J14+L14+N14</f>
        <v>61022.2906</v>
      </c>
      <c r="P14" s="144"/>
    </row>
    <row r="15" spans="1:16" ht="16.5" customHeight="1">
      <c r="A15" s="145"/>
      <c r="B15" s="146"/>
      <c r="C15" s="140"/>
      <c r="D15" s="141"/>
      <c r="E15" s="142"/>
      <c r="F15" s="8">
        <f>E14</f>
        <v>0.65</v>
      </c>
      <c r="G15" s="143"/>
      <c r="H15" s="10">
        <f>F15+G14</f>
        <v>1</v>
      </c>
      <c r="I15" s="142"/>
      <c r="J15" s="8">
        <f>I14+H15</f>
        <v>1</v>
      </c>
      <c r="K15" s="143"/>
      <c r="L15" s="10">
        <f>J15+K14</f>
        <v>1</v>
      </c>
      <c r="M15" s="142"/>
      <c r="N15" s="8">
        <f>M14+L15</f>
        <v>1</v>
      </c>
      <c r="O15" s="144"/>
      <c r="P15" s="144"/>
    </row>
    <row r="16" spans="1:16" ht="16.5" customHeight="1">
      <c r="A16" s="145" t="str">
        <f>ORÇAMENTO_2!C33</f>
        <v>3.</v>
      </c>
      <c r="B16" s="139" t="str">
        <f>ORÇAMENTO_2!D33</f>
        <v>Pavimentação</v>
      </c>
      <c r="C16" s="140" t="e">
        <f>ORÇAMENTO_2!N41</f>
        <v>#REF!</v>
      </c>
      <c r="D16" s="141">
        <f>ORÇAMENTO_2!L41</f>
        <v>57549.17629999999</v>
      </c>
      <c r="E16" s="142">
        <v>0</v>
      </c>
      <c r="F16" s="9">
        <f>D16*E16</f>
        <v>0</v>
      </c>
      <c r="G16" s="143">
        <v>1</v>
      </c>
      <c r="H16" s="11">
        <f>G16*D16</f>
        <v>57549.17629999999</v>
      </c>
      <c r="I16" s="142">
        <v>0</v>
      </c>
      <c r="J16" s="9">
        <f>D16*I16</f>
        <v>0</v>
      </c>
      <c r="K16" s="143">
        <v>0</v>
      </c>
      <c r="L16" s="11">
        <f>K16*D16</f>
        <v>0</v>
      </c>
      <c r="M16" s="142">
        <f>1-(E16+G16+I16+K16)</f>
        <v>0</v>
      </c>
      <c r="N16" s="9">
        <f>D16*M16</f>
        <v>0</v>
      </c>
      <c r="O16" s="144">
        <f>F16+H16+J16+L16+N16</f>
        <v>57549.17629999999</v>
      </c>
      <c r="P16" s="144"/>
    </row>
    <row r="17" spans="1:16" ht="16.5" customHeight="1">
      <c r="A17" s="145"/>
      <c r="B17" s="139"/>
      <c r="C17" s="140"/>
      <c r="D17" s="141"/>
      <c r="E17" s="142"/>
      <c r="F17" s="8">
        <f>E16</f>
        <v>0</v>
      </c>
      <c r="G17" s="143"/>
      <c r="H17" s="10">
        <f>F17+G16</f>
        <v>1</v>
      </c>
      <c r="I17" s="142"/>
      <c r="J17" s="8">
        <f>I16+H17</f>
        <v>1</v>
      </c>
      <c r="K17" s="143"/>
      <c r="L17" s="10">
        <f>J17+K16</f>
        <v>1</v>
      </c>
      <c r="M17" s="142"/>
      <c r="N17" s="8">
        <f>M16+L17</f>
        <v>1</v>
      </c>
      <c r="O17" s="144"/>
      <c r="P17" s="144"/>
    </row>
    <row r="18" spans="1:16" ht="13.5" customHeight="1">
      <c r="A18" s="145" t="str">
        <f>ORÇAMENTO_2!C42</f>
        <v>4.</v>
      </c>
      <c r="B18" s="139" t="str">
        <f>ORÇAMENTO_2!D42</f>
        <v>Estrutura Metálica </v>
      </c>
      <c r="C18" s="140" t="e">
        <f>ORÇAMENTO_2!N50</f>
        <v>#REF!</v>
      </c>
      <c r="D18" s="141" t="e">
        <f>ORÇAMENTO_2!L50</f>
        <v>#REF!</v>
      </c>
      <c r="E18" s="142">
        <v>0</v>
      </c>
      <c r="F18" s="9" t="e">
        <f>D18*E18</f>
        <v>#REF!</v>
      </c>
      <c r="G18" s="143">
        <v>0.1</v>
      </c>
      <c r="H18" s="11" t="e">
        <f>G18*D18</f>
        <v>#REF!</v>
      </c>
      <c r="I18" s="142">
        <v>0.5</v>
      </c>
      <c r="J18" s="9" t="e">
        <f>D18*I18</f>
        <v>#REF!</v>
      </c>
      <c r="K18" s="143">
        <v>0.35</v>
      </c>
      <c r="L18" s="11" t="e">
        <f>K18*D18</f>
        <v>#REF!</v>
      </c>
      <c r="M18" s="142">
        <f>1-(E18+G18+I18+K18)</f>
        <v>0.050000000000000044</v>
      </c>
      <c r="N18" s="9" t="e">
        <f>D18*M18</f>
        <v>#REF!</v>
      </c>
      <c r="O18" s="144" t="e">
        <f>F18+H18+J18+L18+N18</f>
        <v>#REF!</v>
      </c>
      <c r="P18" s="144"/>
    </row>
    <row r="19" spans="1:16" ht="16.5" customHeight="1">
      <c r="A19" s="145"/>
      <c r="B19" s="139"/>
      <c r="C19" s="140"/>
      <c r="D19" s="141"/>
      <c r="E19" s="142"/>
      <c r="F19" s="8">
        <f>E18</f>
        <v>0</v>
      </c>
      <c r="G19" s="143"/>
      <c r="H19" s="10">
        <f>F19+G18</f>
        <v>0.1</v>
      </c>
      <c r="I19" s="142"/>
      <c r="J19" s="8">
        <f>I18+H19</f>
        <v>0.6</v>
      </c>
      <c r="K19" s="143"/>
      <c r="L19" s="10">
        <f>J19+K18</f>
        <v>0.95</v>
      </c>
      <c r="M19" s="142"/>
      <c r="N19" s="8">
        <f>M18+L19</f>
        <v>1</v>
      </c>
      <c r="O19" s="144"/>
      <c r="P19" s="144"/>
    </row>
    <row r="20" spans="1:16" ht="13.5" customHeight="1">
      <c r="A20" s="145" t="str">
        <f>ORÇAMENTO_2!C51</f>
        <v>5.</v>
      </c>
      <c r="B20" s="146" t="str">
        <f>ORÇAMENTO_2!D51</f>
        <v>Pluvial</v>
      </c>
      <c r="C20" s="140" t="e">
        <f>ORÇAMENTO_2!N65</f>
        <v>#REF!</v>
      </c>
      <c r="D20" s="141">
        <f>ORÇAMENTO_2!L65</f>
        <v>15568.298471377282</v>
      </c>
      <c r="E20" s="142">
        <v>0</v>
      </c>
      <c r="F20" s="9">
        <f>D20*E20</f>
        <v>0</v>
      </c>
      <c r="G20" s="143">
        <v>0.65</v>
      </c>
      <c r="H20" s="11">
        <f>G20*D20</f>
        <v>10119.394006395234</v>
      </c>
      <c r="I20" s="142">
        <v>0</v>
      </c>
      <c r="J20" s="9">
        <f>D20*I20</f>
        <v>0</v>
      </c>
      <c r="K20" s="143">
        <v>0.3</v>
      </c>
      <c r="L20" s="11">
        <f>K20*D20</f>
        <v>4670.489541413184</v>
      </c>
      <c r="M20" s="142">
        <f>1-(E20+G20+I20+K20)</f>
        <v>0.050000000000000044</v>
      </c>
      <c r="N20" s="9">
        <f>D20*M20</f>
        <v>778.4149235688648</v>
      </c>
      <c r="O20" s="144">
        <f>F20+H20+J20+L20+N20</f>
        <v>15568.298471377284</v>
      </c>
      <c r="P20" s="144"/>
    </row>
    <row r="21" spans="1:16" ht="16.5" customHeight="1">
      <c r="A21" s="145"/>
      <c r="B21" s="146"/>
      <c r="C21" s="140"/>
      <c r="D21" s="141"/>
      <c r="E21" s="142"/>
      <c r="F21" s="8">
        <f>E20</f>
        <v>0</v>
      </c>
      <c r="G21" s="143"/>
      <c r="H21" s="10">
        <f>F21+G20</f>
        <v>0.65</v>
      </c>
      <c r="I21" s="142"/>
      <c r="J21" s="8">
        <f>I20+H21</f>
        <v>0.65</v>
      </c>
      <c r="K21" s="143"/>
      <c r="L21" s="10">
        <f>J21+K20</f>
        <v>0.95</v>
      </c>
      <c r="M21" s="142"/>
      <c r="N21" s="8">
        <f>M20+L21</f>
        <v>1</v>
      </c>
      <c r="O21" s="144"/>
      <c r="P21" s="144"/>
    </row>
    <row r="22" spans="1:16" ht="13.5" customHeight="1">
      <c r="A22" s="145" t="str">
        <f>ORÇAMENTO_2!C66</f>
        <v>6.</v>
      </c>
      <c r="B22" s="139" t="str">
        <f>ORÇAMENTO_2!D66</f>
        <v>Instalações elétricas</v>
      </c>
      <c r="C22" s="140" t="e">
        <f>ORÇAMENTO_2!N87</f>
        <v>#REF!</v>
      </c>
      <c r="D22" s="141">
        <f>ORÇAMENTO_2!L87</f>
        <v>17811.500000000004</v>
      </c>
      <c r="E22" s="142">
        <v>0</v>
      </c>
      <c r="F22" s="9">
        <f>D22*E22</f>
        <v>0</v>
      </c>
      <c r="G22" s="143">
        <v>0</v>
      </c>
      <c r="H22" s="11">
        <f>G22*D22</f>
        <v>0</v>
      </c>
      <c r="I22" s="142">
        <v>0</v>
      </c>
      <c r="J22" s="9">
        <f>D22*I22</f>
        <v>0</v>
      </c>
      <c r="K22" s="143">
        <v>0</v>
      </c>
      <c r="L22" s="11">
        <f>K22*D22</f>
        <v>0</v>
      </c>
      <c r="M22" s="142">
        <f>1-(E22+G22+I22+K22)</f>
        <v>1</v>
      </c>
      <c r="N22" s="9">
        <f>D22*M22</f>
        <v>17811.500000000004</v>
      </c>
      <c r="O22" s="144">
        <f>F22+H22+J22+L22+N22</f>
        <v>17811.500000000004</v>
      </c>
      <c r="P22" s="144"/>
    </row>
    <row r="23" spans="1:16" ht="16.5" customHeight="1">
      <c r="A23" s="145"/>
      <c r="B23" s="139"/>
      <c r="C23" s="140"/>
      <c r="D23" s="141"/>
      <c r="E23" s="142"/>
      <c r="F23" s="8">
        <f>E22</f>
        <v>0</v>
      </c>
      <c r="G23" s="143"/>
      <c r="H23" s="10">
        <f>F23+G22</f>
        <v>0</v>
      </c>
      <c r="I23" s="142"/>
      <c r="J23" s="8">
        <f>I22+H23</f>
        <v>0</v>
      </c>
      <c r="K23" s="143"/>
      <c r="L23" s="10">
        <f>J23+K22</f>
        <v>0</v>
      </c>
      <c r="M23" s="142"/>
      <c r="N23" s="8">
        <f>M22+L23</f>
        <v>1</v>
      </c>
      <c r="O23" s="144"/>
      <c r="P23" s="144"/>
    </row>
    <row r="24" spans="1:16" ht="13.5" customHeight="1">
      <c r="A24" s="145" t="str">
        <f>ORÇAMENTO_2!C88</f>
        <v>7.</v>
      </c>
      <c r="B24" s="146" t="str">
        <f>ORÇAMENTO_2!D88</f>
        <v>SPDA – Gaiola de Faraday</v>
      </c>
      <c r="C24" s="140" t="e">
        <f>ORÇAMENTO_2!N100</f>
        <v>#REF!</v>
      </c>
      <c r="D24" s="141">
        <f>ORÇAMENTO_2!L100</f>
        <v>13671.904000000002</v>
      </c>
      <c r="E24" s="142">
        <v>0</v>
      </c>
      <c r="F24" s="9">
        <f>D24*E24</f>
        <v>0</v>
      </c>
      <c r="G24" s="143">
        <v>0</v>
      </c>
      <c r="H24" s="11">
        <f>G24*D24</f>
        <v>0</v>
      </c>
      <c r="I24" s="142">
        <v>0</v>
      </c>
      <c r="J24" s="9">
        <f>D24*I24</f>
        <v>0</v>
      </c>
      <c r="K24" s="143">
        <v>0</v>
      </c>
      <c r="L24" s="11">
        <f>K24*D24</f>
        <v>0</v>
      </c>
      <c r="M24" s="142">
        <f>1-(E24+G24+I24+K24)</f>
        <v>1</v>
      </c>
      <c r="N24" s="9">
        <f>D24*M24</f>
        <v>13671.904000000002</v>
      </c>
      <c r="O24" s="144">
        <f>F24+H24+J24+L24+N24</f>
        <v>13671.904000000002</v>
      </c>
      <c r="P24" s="144"/>
    </row>
    <row r="25" spans="1:16" ht="16.5" customHeight="1">
      <c r="A25" s="145"/>
      <c r="B25" s="146"/>
      <c r="C25" s="140"/>
      <c r="D25" s="141"/>
      <c r="E25" s="142"/>
      <c r="F25" s="8">
        <f>E24</f>
        <v>0</v>
      </c>
      <c r="G25" s="143"/>
      <c r="H25" s="10">
        <f>F25+G24</f>
        <v>0</v>
      </c>
      <c r="I25" s="142"/>
      <c r="J25" s="8">
        <f>I24+H25</f>
        <v>0</v>
      </c>
      <c r="K25" s="143"/>
      <c r="L25" s="10">
        <f>J25+K24</f>
        <v>0</v>
      </c>
      <c r="M25" s="142"/>
      <c r="N25" s="8">
        <f>M24+L25</f>
        <v>1</v>
      </c>
      <c r="O25" s="144"/>
      <c r="P25" s="144"/>
    </row>
    <row r="26" spans="1:16" ht="13.5" customHeight="1">
      <c r="A26" s="145" t="str">
        <f>ORÇAMENTO_2!C101</f>
        <v>8.</v>
      </c>
      <c r="B26" s="139" t="str">
        <f>ORÇAMENTO_2!D101</f>
        <v>Pintura Quadras</v>
      </c>
      <c r="C26" s="140" t="e">
        <f>ORÇAMENTO_2!N105</f>
        <v>#REF!</v>
      </c>
      <c r="D26" s="141">
        <f>ORÇAMENTO_2!L105</f>
        <v>43133.716</v>
      </c>
      <c r="E26" s="142">
        <v>0</v>
      </c>
      <c r="F26" s="9">
        <f>D26*E26</f>
        <v>0</v>
      </c>
      <c r="G26" s="143">
        <v>0</v>
      </c>
      <c r="H26" s="11">
        <f>G26*D26</f>
        <v>0</v>
      </c>
      <c r="I26" s="142">
        <v>0</v>
      </c>
      <c r="J26" s="9">
        <f>D26*I26</f>
        <v>0</v>
      </c>
      <c r="K26" s="143">
        <v>0</v>
      </c>
      <c r="L26" s="11">
        <f>K26*D26</f>
        <v>0</v>
      </c>
      <c r="M26" s="142">
        <f>1-(E26+G26+I26+K26)</f>
        <v>1</v>
      </c>
      <c r="N26" s="9">
        <f>D26*M26</f>
        <v>43133.716</v>
      </c>
      <c r="O26" s="144">
        <f>F26+H26+J26+L26+N26</f>
        <v>43133.716</v>
      </c>
      <c r="P26" s="144"/>
    </row>
    <row r="27" spans="1:16" ht="16.5" customHeight="1">
      <c r="A27" s="145"/>
      <c r="B27" s="139"/>
      <c r="C27" s="140"/>
      <c r="D27" s="141"/>
      <c r="E27" s="142"/>
      <c r="F27" s="8">
        <f>E26</f>
        <v>0</v>
      </c>
      <c r="G27" s="143"/>
      <c r="H27" s="10">
        <f>F27+G26</f>
        <v>0</v>
      </c>
      <c r="I27" s="142"/>
      <c r="J27" s="8">
        <f>I26+H27</f>
        <v>0</v>
      </c>
      <c r="K27" s="143"/>
      <c r="L27" s="10">
        <f>J27+K26</f>
        <v>0</v>
      </c>
      <c r="M27" s="142"/>
      <c r="N27" s="8">
        <f>M26+L27</f>
        <v>1</v>
      </c>
      <c r="O27" s="144"/>
      <c r="P27" s="144"/>
    </row>
    <row r="28" spans="1:16" ht="13.5" customHeight="1">
      <c r="A28" s="145" t="str">
        <f>ORÇAMENTO_2!C106</f>
        <v>9.</v>
      </c>
      <c r="B28" s="139" t="str">
        <f>ORÇAMENTO_2!D106</f>
        <v>Serviços finais</v>
      </c>
      <c r="C28" s="140" t="e">
        <f>ORÇAMENTO_2!N111</f>
        <v>#REF!</v>
      </c>
      <c r="D28" s="141">
        <f>ORÇAMENTO_2!L111</f>
        <v>18246.42</v>
      </c>
      <c r="E28" s="142">
        <v>0</v>
      </c>
      <c r="F28" s="9">
        <f>D28*E28</f>
        <v>0</v>
      </c>
      <c r="G28" s="143">
        <v>0</v>
      </c>
      <c r="H28" s="11">
        <f>G28*D28</f>
        <v>0</v>
      </c>
      <c r="I28" s="142">
        <v>0</v>
      </c>
      <c r="J28" s="9">
        <f>D28*I28</f>
        <v>0</v>
      </c>
      <c r="K28" s="143">
        <v>0</v>
      </c>
      <c r="L28" s="11">
        <f>K28*D28</f>
        <v>0</v>
      </c>
      <c r="M28" s="142">
        <f>1-(E28+G28+I28+K28)</f>
        <v>1</v>
      </c>
      <c r="N28" s="9">
        <f>D28*M28</f>
        <v>18246.42</v>
      </c>
      <c r="O28" s="144">
        <f>F28+H28+J28+L28+N28</f>
        <v>18246.42</v>
      </c>
      <c r="P28" s="144"/>
    </row>
    <row r="29" spans="1:16" ht="16.5" customHeight="1">
      <c r="A29" s="145"/>
      <c r="B29" s="139"/>
      <c r="C29" s="140"/>
      <c r="D29" s="141"/>
      <c r="E29" s="142"/>
      <c r="F29" s="8">
        <f>E28</f>
        <v>0</v>
      </c>
      <c r="G29" s="143"/>
      <c r="H29" s="10">
        <f>F29+G28</f>
        <v>0</v>
      </c>
      <c r="I29" s="142"/>
      <c r="J29" s="8">
        <f>I28+H29</f>
        <v>0</v>
      </c>
      <c r="K29" s="143"/>
      <c r="L29" s="10">
        <f>J29+K28</f>
        <v>0</v>
      </c>
      <c r="M29" s="142"/>
      <c r="N29" s="8">
        <f>M28+L29</f>
        <v>1</v>
      </c>
      <c r="O29" s="144"/>
      <c r="P29" s="144"/>
    </row>
    <row r="30" spans="1:17" s="18" customFormat="1" ht="19.5" customHeight="1">
      <c r="A30" s="12"/>
      <c r="B30" s="12" t="s">
        <v>12</v>
      </c>
      <c r="C30" s="13" t="e">
        <f>SUM(C12:C29)</f>
        <v>#REF!</v>
      </c>
      <c r="D30" s="14" t="e">
        <f>ORÇAMENTO_2!L113</f>
        <v>#REF!</v>
      </c>
      <c r="E30" s="15" t="e">
        <f>F30/D30</f>
        <v>#REF!</v>
      </c>
      <c r="F30" s="16" t="e">
        <f>F12+F14+F16+F18+F20+F22+F24+F26+F28</f>
        <v>#REF!</v>
      </c>
      <c r="G30" s="15" t="e">
        <f>H30/D30</f>
        <v>#REF!</v>
      </c>
      <c r="H30" s="16" t="e">
        <f>H12+H14+H16+H18+H20+H22+H24+H26+H28</f>
        <v>#REF!</v>
      </c>
      <c r="I30" s="15" t="e">
        <f>J30/D30</f>
        <v>#REF!</v>
      </c>
      <c r="J30" s="16" t="e">
        <f>J12+J14+J16+J18+J20+J22+J24+J26+J28</f>
        <v>#REF!</v>
      </c>
      <c r="K30" s="15" t="e">
        <f>L30/D30</f>
        <v>#REF!</v>
      </c>
      <c r="L30" s="16" t="e">
        <f>L12+L14+L16+L18+L20+L22+L24+L26+L28</f>
        <v>#REF!</v>
      </c>
      <c r="M30" s="15" t="e">
        <f>N30/D30</f>
        <v>#REF!</v>
      </c>
      <c r="N30" s="16" t="e">
        <f>N12+N14+N16+N18+N20+N22+N24+N26+N28</f>
        <v>#REF!</v>
      </c>
      <c r="O30" s="147" t="e">
        <f>O12+O14+O16+O18+O20+O22+O24+O26+O28</f>
        <v>#REF!</v>
      </c>
      <c r="P30" s="147"/>
      <c r="Q30" s="17"/>
    </row>
    <row r="33" spans="3:4" ht="12.75" customHeight="1">
      <c r="C33" s="19" t="e">
        <f>SUM(C12:C28)</f>
        <v>#REF!</v>
      </c>
      <c r="D33" s="20" t="e">
        <f>SUM(D12:D28)</f>
        <v>#REF!</v>
      </c>
    </row>
    <row r="38" ht="15.75" customHeight="1"/>
    <row r="49" ht="409.5" customHeight="1">
      <c r="A49" s="21" t="s">
        <v>13</v>
      </c>
    </row>
    <row r="58" ht="15.75" customHeight="1">
      <c r="C58" s="2" t="s">
        <v>14</v>
      </c>
    </row>
    <row r="59" ht="15.75" customHeight="1">
      <c r="C59" s="2" t="s">
        <v>15</v>
      </c>
    </row>
    <row r="60" ht="15.75" customHeight="1">
      <c r="C60" s="2" t="s">
        <v>16</v>
      </c>
    </row>
    <row r="61" ht="15.75" customHeight="1">
      <c r="C61" s="2" t="s">
        <v>17</v>
      </c>
    </row>
    <row r="62" ht="15.75" customHeight="1">
      <c r="C62" s="2" t="s">
        <v>18</v>
      </c>
    </row>
    <row r="71" ht="15.75" customHeight="1"/>
    <row r="72" ht="15.75" customHeight="1"/>
    <row r="73" ht="15.75" customHeight="1"/>
    <row r="79" ht="15.75" customHeight="1">
      <c r="P79" s="2" t="e">
        <f>SUM(#REF!)</f>
        <v>#REF!</v>
      </c>
    </row>
    <row r="80" ht="15.75" customHeight="1"/>
    <row r="85" ht="12.75" customHeight="1">
      <c r="D85" s="2" t="s">
        <v>19</v>
      </c>
    </row>
    <row r="87" spans="1:9" ht="98.25" customHeight="1">
      <c r="A87" s="1">
        <v>1</v>
      </c>
      <c r="B87" s="2">
        <v>25398</v>
      </c>
      <c r="D87" s="22" t="s">
        <v>20</v>
      </c>
      <c r="E87" s="2" t="s">
        <v>21</v>
      </c>
      <c r="F87" s="2">
        <v>2</v>
      </c>
      <c r="I87" s="2">
        <v>2489.39</v>
      </c>
    </row>
    <row r="88" spans="1:9" ht="15.75" customHeight="1">
      <c r="A88" s="1">
        <v>1</v>
      </c>
      <c r="B88" s="2">
        <v>25399</v>
      </c>
      <c r="D88" s="2" t="s">
        <v>22</v>
      </c>
      <c r="E88" s="2" t="s">
        <v>21</v>
      </c>
      <c r="F88" s="2">
        <v>3</v>
      </c>
      <c r="I88" s="2">
        <v>569.02</v>
      </c>
    </row>
    <row r="89" spans="1:9" ht="15.75" customHeight="1">
      <c r="A89" s="1">
        <v>1</v>
      </c>
      <c r="B89" s="2">
        <v>25400</v>
      </c>
      <c r="D89" s="2" t="s">
        <v>23</v>
      </c>
      <c r="E89" s="2" t="s">
        <v>21</v>
      </c>
      <c r="F89" s="2">
        <v>2</v>
      </c>
      <c r="I89" s="2">
        <v>890.05</v>
      </c>
    </row>
    <row r="90" ht="15.75" customHeight="1">
      <c r="P90" s="2" t="e">
        <f>SUM(#REF!)</f>
        <v>#REF!</v>
      </c>
    </row>
  </sheetData>
  <sheetProtection selectLockedCells="1" selectUnlockedCells="1"/>
  <mergeCells count="116">
    <mergeCell ref="O28:P29"/>
    <mergeCell ref="O30:P30"/>
    <mergeCell ref="O26:P27"/>
    <mergeCell ref="A28:A29"/>
    <mergeCell ref="B28:B29"/>
    <mergeCell ref="C28:C29"/>
    <mergeCell ref="D28:D29"/>
    <mergeCell ref="E28:E29"/>
    <mergeCell ref="G28:G29"/>
    <mergeCell ref="I28:I29"/>
    <mergeCell ref="K28:K29"/>
    <mergeCell ref="M28:M29"/>
    <mergeCell ref="O24:P25"/>
    <mergeCell ref="A26:A27"/>
    <mergeCell ref="B26:B27"/>
    <mergeCell ref="C26:C27"/>
    <mergeCell ref="D26:D27"/>
    <mergeCell ref="E26:E27"/>
    <mergeCell ref="G26:G27"/>
    <mergeCell ref="I26:I27"/>
    <mergeCell ref="K26:K27"/>
    <mergeCell ref="M26:M27"/>
    <mergeCell ref="O22:P23"/>
    <mergeCell ref="A24:A25"/>
    <mergeCell ref="B24:B25"/>
    <mergeCell ref="C24:C25"/>
    <mergeCell ref="D24:D25"/>
    <mergeCell ref="E24:E25"/>
    <mergeCell ref="G24:G25"/>
    <mergeCell ref="I24:I25"/>
    <mergeCell ref="K24:K25"/>
    <mergeCell ref="M24:M25"/>
    <mergeCell ref="O20:P21"/>
    <mergeCell ref="A22:A23"/>
    <mergeCell ref="B22:B23"/>
    <mergeCell ref="C22:C23"/>
    <mergeCell ref="D22:D23"/>
    <mergeCell ref="E22:E23"/>
    <mergeCell ref="G22:G23"/>
    <mergeCell ref="I22:I23"/>
    <mergeCell ref="K22:K23"/>
    <mergeCell ref="M22:M23"/>
    <mergeCell ref="O18:P19"/>
    <mergeCell ref="A20:A21"/>
    <mergeCell ref="B20:B21"/>
    <mergeCell ref="C20:C21"/>
    <mergeCell ref="D20:D21"/>
    <mergeCell ref="E20:E21"/>
    <mergeCell ref="G20:G21"/>
    <mergeCell ref="I20:I21"/>
    <mergeCell ref="K20:K21"/>
    <mergeCell ref="M20:M21"/>
    <mergeCell ref="O16:P17"/>
    <mergeCell ref="A18:A19"/>
    <mergeCell ref="B18:B19"/>
    <mergeCell ref="C18:C19"/>
    <mergeCell ref="D18:D19"/>
    <mergeCell ref="E18:E19"/>
    <mergeCell ref="G18:G19"/>
    <mergeCell ref="I18:I19"/>
    <mergeCell ref="K18:K19"/>
    <mergeCell ref="M18:M19"/>
    <mergeCell ref="O14:P15"/>
    <mergeCell ref="A16:A17"/>
    <mergeCell ref="B16:B17"/>
    <mergeCell ref="C16:C17"/>
    <mergeCell ref="D16:D17"/>
    <mergeCell ref="E16:E17"/>
    <mergeCell ref="G16:G17"/>
    <mergeCell ref="I16:I17"/>
    <mergeCell ref="K16:K17"/>
    <mergeCell ref="M16:M17"/>
    <mergeCell ref="O12:P13"/>
    <mergeCell ref="A14:A15"/>
    <mergeCell ref="B14:B15"/>
    <mergeCell ref="C14:C15"/>
    <mergeCell ref="D14:D15"/>
    <mergeCell ref="E14:E15"/>
    <mergeCell ref="G14:G15"/>
    <mergeCell ref="I14:I15"/>
    <mergeCell ref="K14:K15"/>
    <mergeCell ref="M14:M15"/>
    <mergeCell ref="O10:P11"/>
    <mergeCell ref="A12:A13"/>
    <mergeCell ref="B12:B13"/>
    <mergeCell ref="C12:C13"/>
    <mergeCell ref="D12:D13"/>
    <mergeCell ref="E12:E13"/>
    <mergeCell ref="G12:G13"/>
    <mergeCell ref="I12:I13"/>
    <mergeCell ref="K12:K13"/>
    <mergeCell ref="M12:M13"/>
    <mergeCell ref="A9:P9"/>
    <mergeCell ref="A10:A11"/>
    <mergeCell ref="B10:B11"/>
    <mergeCell ref="C10:C11"/>
    <mergeCell ref="D10:D11"/>
    <mergeCell ref="E10:F10"/>
    <mergeCell ref="G10:H10"/>
    <mergeCell ref="I10:J10"/>
    <mergeCell ref="K10:L10"/>
    <mergeCell ref="M10:N10"/>
    <mergeCell ref="A6:C6"/>
    <mergeCell ref="D6:I6"/>
    <mergeCell ref="J6:P7"/>
    <mergeCell ref="A7:C7"/>
    <mergeCell ref="D7:I7"/>
    <mergeCell ref="A8:C8"/>
    <mergeCell ref="D8:I8"/>
    <mergeCell ref="L8:P8"/>
    <mergeCell ref="A2:P2"/>
    <mergeCell ref="A3:P3"/>
    <mergeCell ref="A4:P4"/>
    <mergeCell ref="A5:C5"/>
    <mergeCell ref="D5:I5"/>
    <mergeCell ref="J5:P5"/>
  </mergeCells>
  <printOptions horizontalCentered="1" verticalCentered="1"/>
  <pageMargins left="0.1701388888888889" right="0.03958333333333333" top="0.03958333333333333" bottom="0.03958333333333333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"/>
  <sheetViews>
    <sheetView tabSelected="1" zoomScaleSheetLayoutView="100" zoomScalePageLayoutView="0" workbookViewId="0" topLeftCell="A88">
      <selection activeCell="F86" sqref="F86"/>
    </sheetView>
  </sheetViews>
  <sheetFormatPr defaultColWidth="9.140625" defaultRowHeight="12.75" customHeight="1"/>
  <cols>
    <col min="1" max="1" width="3.8515625" style="0" customWidth="1"/>
    <col min="2" max="2" width="12.7109375" style="23" customWidth="1"/>
    <col min="3" max="3" width="9.00390625" style="24" customWidth="1"/>
    <col min="4" max="4" width="91.00390625" style="0" customWidth="1"/>
    <col min="5" max="5" width="10.00390625" style="24" customWidth="1"/>
    <col min="6" max="6" width="12.00390625" style="0" customWidth="1"/>
    <col min="8" max="8" width="9.00390625" style="25" customWidth="1"/>
    <col min="9" max="9" width="9.00390625" style="26" customWidth="1"/>
    <col min="10" max="11" width="9.00390625" style="25" customWidth="1"/>
    <col min="12" max="12" width="11.140625" style="25" customWidth="1"/>
    <col min="13" max="13" width="12.7109375" style="0" customWidth="1"/>
    <col min="14" max="14" width="14.7109375" style="0" customWidth="1"/>
    <col min="15" max="15" width="9.7109375" style="0" customWidth="1"/>
    <col min="16" max="16" width="16.8515625" style="0" customWidth="1"/>
    <col min="17" max="18" width="11.57421875" style="0" customWidth="1"/>
    <col min="19" max="19" width="12.7109375" style="0" customWidth="1"/>
  </cols>
  <sheetData>
    <row r="1" spans="1:18" s="23" customFormat="1" ht="63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/>
      <c r="P1"/>
      <c r="Q1"/>
      <c r="R1"/>
    </row>
    <row r="2" spans="1:14" ht="14.25" customHeight="1">
      <c r="A2" s="149" t="s">
        <v>24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12.75" customHeight="1">
      <c r="A3" s="150" t="s">
        <v>25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2.75" customHeight="1">
      <c r="A4" s="27">
        <v>1</v>
      </c>
      <c r="B4" s="3" t="s">
        <v>26</v>
      </c>
      <c r="C4" s="133" t="s">
        <v>27</v>
      </c>
      <c r="D4" s="133"/>
      <c r="E4" s="134" t="s">
        <v>28</v>
      </c>
      <c r="F4" s="134"/>
      <c r="G4" s="134"/>
      <c r="H4" s="134"/>
      <c r="I4" s="134"/>
      <c r="J4" s="134"/>
      <c r="K4" s="134" t="s">
        <v>29</v>
      </c>
      <c r="L4" s="134"/>
      <c r="M4" s="134"/>
      <c r="N4" s="134"/>
    </row>
    <row r="5" spans="1:14" ht="12.75" customHeight="1">
      <c r="A5" s="27">
        <v>2</v>
      </c>
      <c r="B5" s="3" t="s">
        <v>30</v>
      </c>
      <c r="C5" s="133" t="s">
        <v>31</v>
      </c>
      <c r="D5" s="133"/>
      <c r="E5" s="134" t="s">
        <v>32</v>
      </c>
      <c r="F5" s="134"/>
      <c r="G5" s="134"/>
      <c r="H5" s="134"/>
      <c r="I5" s="134"/>
      <c r="J5" s="134"/>
      <c r="K5" s="134"/>
      <c r="L5" s="134"/>
      <c r="M5" s="134"/>
      <c r="N5" s="134"/>
    </row>
    <row r="6" spans="1:14" ht="15.75" customHeight="1">
      <c r="A6" s="27">
        <v>3</v>
      </c>
      <c r="B6" s="3" t="s">
        <v>33</v>
      </c>
      <c r="C6" s="133" t="s">
        <v>34</v>
      </c>
      <c r="D6" s="133"/>
      <c r="E6" s="151" t="s">
        <v>35</v>
      </c>
      <c r="F6" s="151"/>
      <c r="G6" s="151"/>
      <c r="H6" s="151"/>
      <c r="I6" s="151"/>
      <c r="J6" s="151"/>
      <c r="K6" s="134"/>
      <c r="L6" s="134"/>
      <c r="M6" s="134"/>
      <c r="N6" s="134"/>
    </row>
    <row r="7" spans="1:14" s="29" customFormat="1" ht="15" customHeight="1">
      <c r="A7" s="27">
        <v>4</v>
      </c>
      <c r="B7" s="3" t="s">
        <v>36</v>
      </c>
      <c r="C7" s="152" t="s">
        <v>37</v>
      </c>
      <c r="D7" s="152"/>
      <c r="E7" s="134" t="s">
        <v>38</v>
      </c>
      <c r="F7" s="134"/>
      <c r="G7" s="134"/>
      <c r="H7" s="134"/>
      <c r="I7" s="134"/>
      <c r="J7" s="134"/>
      <c r="K7" s="4" t="s">
        <v>39</v>
      </c>
      <c r="L7" s="28">
        <v>0.25</v>
      </c>
      <c r="M7" s="28"/>
      <c r="N7" s="28"/>
    </row>
    <row r="8" spans="1:14" s="29" customFormat="1" ht="15" customHeight="1">
      <c r="A8" s="153" t="s">
        <v>40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</row>
    <row r="9" spans="1:14" ht="15" customHeight="1">
      <c r="A9" s="154" t="s">
        <v>41</v>
      </c>
      <c r="B9" s="154"/>
      <c r="C9" s="155" t="s">
        <v>0</v>
      </c>
      <c r="D9" s="154" t="s">
        <v>42</v>
      </c>
      <c r="E9" s="154" t="s">
        <v>43</v>
      </c>
      <c r="F9" s="154" t="s">
        <v>44</v>
      </c>
      <c r="G9" s="156" t="s">
        <v>45</v>
      </c>
      <c r="H9" s="156"/>
      <c r="I9" s="156"/>
      <c r="J9" s="157" t="s">
        <v>46</v>
      </c>
      <c r="K9" s="157"/>
      <c r="L9" s="157"/>
      <c r="M9" s="154" t="s">
        <v>9</v>
      </c>
      <c r="N9" s="158" t="s">
        <v>10</v>
      </c>
    </row>
    <row r="10" spans="1:14" ht="15.75" customHeight="1">
      <c r="A10" s="154"/>
      <c r="B10" s="154"/>
      <c r="C10" s="155"/>
      <c r="D10" s="154"/>
      <c r="E10" s="154"/>
      <c r="F10" s="154"/>
      <c r="G10" s="30" t="s">
        <v>47</v>
      </c>
      <c r="H10" s="31" t="s">
        <v>48</v>
      </c>
      <c r="I10" s="31" t="s">
        <v>49</v>
      </c>
      <c r="J10" s="31" t="s">
        <v>47</v>
      </c>
      <c r="K10" s="31" t="s">
        <v>48</v>
      </c>
      <c r="L10" s="31" t="s">
        <v>49</v>
      </c>
      <c r="M10" s="154"/>
      <c r="N10" s="158"/>
    </row>
    <row r="11" spans="1:14" s="39" customFormat="1" ht="15" customHeight="1">
      <c r="A11" s="32"/>
      <c r="B11" s="33"/>
      <c r="C11" s="34" t="s">
        <v>50</v>
      </c>
      <c r="D11" s="35" t="s">
        <v>51</v>
      </c>
      <c r="E11" s="36"/>
      <c r="F11" s="36"/>
      <c r="G11" s="32"/>
      <c r="H11" s="32"/>
      <c r="I11" s="37"/>
      <c r="J11" s="32"/>
      <c r="K11" s="32"/>
      <c r="L11" s="38"/>
      <c r="M11" s="32"/>
      <c r="N11" s="32"/>
    </row>
    <row r="12" spans="1:14" s="39" customFormat="1" ht="15.75" customHeight="1">
      <c r="A12" s="40">
        <v>1</v>
      </c>
      <c r="B12" s="41" t="s">
        <v>52</v>
      </c>
      <c r="C12" s="42" t="s">
        <v>53</v>
      </c>
      <c r="D12" s="43" t="s">
        <v>54</v>
      </c>
      <c r="E12" s="36" t="s">
        <v>55</v>
      </c>
      <c r="F12" s="44">
        <v>2260</v>
      </c>
      <c r="G12" s="45">
        <f aca="true" t="shared" si="0" ref="G12:G17">ROUND(I12*0.6,2)</f>
        <v>1.94</v>
      </c>
      <c r="H12" s="45">
        <f>ROUND((I12*0.45),2)</f>
        <v>1.45</v>
      </c>
      <c r="I12" s="46">
        <v>3.23</v>
      </c>
      <c r="J12" s="47">
        <f aca="true" t="shared" si="1" ref="J12:J17">ROUND((G12*L$7)+G12,2)</f>
        <v>2.43</v>
      </c>
      <c r="K12" s="47">
        <f aca="true" t="shared" si="2" ref="K12:K17">ROUND((H12*L$7)+H12,2)</f>
        <v>1.81</v>
      </c>
      <c r="L12" s="48">
        <f aca="true" t="shared" si="3" ref="L12:L17">J12+K12</f>
        <v>4.24</v>
      </c>
      <c r="M12" s="45">
        <f aca="true" t="shared" si="4" ref="M12:M17">L12*F12</f>
        <v>9582.4</v>
      </c>
      <c r="N12" s="49">
        <f aca="true" t="shared" si="5" ref="N12:N17">M12/L$18</f>
        <v>0.289154434435882</v>
      </c>
    </row>
    <row r="13" spans="1:14" s="39" customFormat="1" ht="15.75" customHeight="1">
      <c r="A13" s="40">
        <v>1</v>
      </c>
      <c r="B13" s="41">
        <v>9537</v>
      </c>
      <c r="C13" s="42" t="s">
        <v>56</v>
      </c>
      <c r="D13" s="43" t="s">
        <v>57</v>
      </c>
      <c r="E13" s="36" t="s">
        <v>55</v>
      </c>
      <c r="F13" s="44">
        <f>F12</f>
        <v>2260</v>
      </c>
      <c r="G13" s="45">
        <f t="shared" si="0"/>
        <v>1.01</v>
      </c>
      <c r="H13" s="45">
        <f>ROUND(I13*0.4,2)</f>
        <v>0.68</v>
      </c>
      <c r="I13" s="46">
        <v>1.69</v>
      </c>
      <c r="J13" s="47">
        <f t="shared" si="1"/>
        <v>1.26</v>
      </c>
      <c r="K13" s="47">
        <f t="shared" si="2"/>
        <v>0.85</v>
      </c>
      <c r="L13" s="48">
        <f t="shared" si="3"/>
        <v>2.11</v>
      </c>
      <c r="M13" s="45">
        <f t="shared" si="4"/>
        <v>4768.599999999999</v>
      </c>
      <c r="N13" s="49">
        <f t="shared" si="5"/>
        <v>0.14389524921219599</v>
      </c>
    </row>
    <row r="14" spans="1:14" s="39" customFormat="1" ht="15.75" customHeight="1">
      <c r="A14" s="40">
        <v>1</v>
      </c>
      <c r="B14" s="41" t="s">
        <v>58</v>
      </c>
      <c r="C14" s="42" t="s">
        <v>59</v>
      </c>
      <c r="D14" s="43" t="s">
        <v>60</v>
      </c>
      <c r="E14" s="36" t="s">
        <v>55</v>
      </c>
      <c r="F14" s="44">
        <v>5</v>
      </c>
      <c r="G14" s="45">
        <f t="shared" si="0"/>
        <v>131.29</v>
      </c>
      <c r="H14" s="45">
        <f>ROUND(I14*0.4,2)</f>
        <v>87.52</v>
      </c>
      <c r="I14" s="46">
        <v>218.81</v>
      </c>
      <c r="J14" s="47">
        <f t="shared" si="1"/>
        <v>164.11</v>
      </c>
      <c r="K14" s="47">
        <f t="shared" si="2"/>
        <v>109.4</v>
      </c>
      <c r="L14" s="48">
        <f t="shared" si="3"/>
        <v>273.51</v>
      </c>
      <c r="M14" s="45">
        <f t="shared" si="4"/>
        <v>1367.55</v>
      </c>
      <c r="N14" s="49">
        <f t="shared" si="5"/>
        <v>0.04126660824144165</v>
      </c>
    </row>
    <row r="15" spans="1:14" s="39" customFormat="1" ht="15.75" customHeight="1">
      <c r="A15" s="40">
        <v>1</v>
      </c>
      <c r="B15" s="41" t="s">
        <v>61</v>
      </c>
      <c r="C15" s="42" t="s">
        <v>62</v>
      </c>
      <c r="D15" s="43" t="s">
        <v>63</v>
      </c>
      <c r="E15" s="36" t="s">
        <v>55</v>
      </c>
      <c r="F15" s="44">
        <f>(4.76+50.2)*2.2</f>
        <v>120.912</v>
      </c>
      <c r="G15" s="45">
        <f t="shared" si="0"/>
        <v>21.3</v>
      </c>
      <c r="H15" s="45">
        <f>ROUND(I15*0.4,2)</f>
        <v>14.2</v>
      </c>
      <c r="I15" s="46">
        <v>35.5</v>
      </c>
      <c r="J15" s="47">
        <f t="shared" si="1"/>
        <v>26.63</v>
      </c>
      <c r="K15" s="47">
        <f t="shared" si="2"/>
        <v>17.75</v>
      </c>
      <c r="L15" s="48">
        <f t="shared" si="3"/>
        <v>44.379999999999995</v>
      </c>
      <c r="M15" s="45">
        <f t="shared" si="4"/>
        <v>5366.07456</v>
      </c>
      <c r="N15" s="49">
        <f t="shared" si="5"/>
        <v>0.1619243878921329</v>
      </c>
    </row>
    <row r="16" spans="1:14" s="39" customFormat="1" ht="15.75" customHeight="1">
      <c r="A16" s="40">
        <v>1</v>
      </c>
      <c r="B16" s="50" t="s">
        <v>64</v>
      </c>
      <c r="C16" s="42" t="s">
        <v>65</v>
      </c>
      <c r="D16" s="51" t="s">
        <v>66</v>
      </c>
      <c r="E16" s="36" t="s">
        <v>67</v>
      </c>
      <c r="F16" s="44">
        <v>1</v>
      </c>
      <c r="G16" s="45">
        <f t="shared" si="0"/>
        <v>709.42</v>
      </c>
      <c r="H16" s="45">
        <f>ROUND(I16*0.4,2)</f>
        <v>472.94</v>
      </c>
      <c r="I16" s="46">
        <v>1182.36</v>
      </c>
      <c r="J16" s="47">
        <f t="shared" si="1"/>
        <v>886.78</v>
      </c>
      <c r="K16" s="47">
        <f t="shared" si="2"/>
        <v>591.18</v>
      </c>
      <c r="L16" s="48">
        <f t="shared" si="3"/>
        <v>1477.96</v>
      </c>
      <c r="M16" s="45">
        <f t="shared" si="4"/>
        <v>1477.96</v>
      </c>
      <c r="N16" s="49">
        <f t="shared" si="5"/>
        <v>0.04459829352968527</v>
      </c>
    </row>
    <row r="17" spans="1:14" s="39" customFormat="1" ht="15.75" customHeight="1">
      <c r="A17" s="40">
        <v>1</v>
      </c>
      <c r="B17" s="52" t="s">
        <v>68</v>
      </c>
      <c r="C17" s="42" t="s">
        <v>69</v>
      </c>
      <c r="D17" s="43" t="s">
        <v>70</v>
      </c>
      <c r="E17" s="36" t="s">
        <v>55</v>
      </c>
      <c r="F17" s="44">
        <f>F12</f>
        <v>2260</v>
      </c>
      <c r="G17" s="45">
        <f t="shared" si="0"/>
        <v>2.24</v>
      </c>
      <c r="H17" s="45">
        <f>ROUND(I17*0.4,2)</f>
        <v>1.5</v>
      </c>
      <c r="I17" s="46">
        <v>3.74</v>
      </c>
      <c r="J17" s="47">
        <f t="shared" si="1"/>
        <v>2.8</v>
      </c>
      <c r="K17" s="47">
        <f t="shared" si="2"/>
        <v>1.88</v>
      </c>
      <c r="L17" s="48">
        <f t="shared" si="3"/>
        <v>4.68</v>
      </c>
      <c r="M17" s="45">
        <f t="shared" si="4"/>
        <v>10576.8</v>
      </c>
      <c r="N17" s="49">
        <f t="shared" si="5"/>
        <v>0.3191610266886622</v>
      </c>
    </row>
    <row r="18" spans="1:16" s="39" customFormat="1" ht="15.75" customHeight="1">
      <c r="A18" s="53"/>
      <c r="B18" s="54"/>
      <c r="C18" s="55"/>
      <c r="D18" s="159" t="s">
        <v>71</v>
      </c>
      <c r="E18" s="159"/>
      <c r="F18" s="159"/>
      <c r="G18" s="159"/>
      <c r="H18" s="159"/>
      <c r="I18" s="159"/>
      <c r="J18" s="159"/>
      <c r="K18" s="159"/>
      <c r="L18" s="160">
        <f>SUM(M12:M17)</f>
        <v>33139.38456</v>
      </c>
      <c r="M18" s="160"/>
      <c r="N18" s="57" t="e">
        <f>L18/L$113</f>
        <v>#REF!</v>
      </c>
      <c r="O18" s="58"/>
      <c r="P18" s="59">
        <f>SUM(N14:N15)</f>
        <v>0.20319099613357455</v>
      </c>
    </row>
    <row r="19" spans="1:14" s="39" customFormat="1" ht="15.75" customHeight="1">
      <c r="A19" s="60"/>
      <c r="B19" s="61"/>
      <c r="C19" s="34" t="s">
        <v>72</v>
      </c>
      <c r="D19" s="35" t="s">
        <v>73</v>
      </c>
      <c r="E19" s="36"/>
      <c r="F19" s="44"/>
      <c r="G19" s="62"/>
      <c r="H19" s="60"/>
      <c r="I19" s="63"/>
      <c r="J19" s="62"/>
      <c r="K19" s="62"/>
      <c r="L19" s="63"/>
      <c r="M19" s="62"/>
      <c r="N19" s="62"/>
    </row>
    <row r="20" spans="1:14" s="39" customFormat="1" ht="15.75" customHeight="1">
      <c r="A20" s="40">
        <v>1</v>
      </c>
      <c r="B20" s="36">
        <v>72819</v>
      </c>
      <c r="C20" s="64" t="s">
        <v>74</v>
      </c>
      <c r="D20" s="43" t="s">
        <v>75</v>
      </c>
      <c r="E20" s="36" t="s">
        <v>76</v>
      </c>
      <c r="F20" s="65">
        <v>432</v>
      </c>
      <c r="G20" s="66">
        <f aca="true" t="shared" si="6" ref="G20:G26">ROUND(I20*0.6,2)</f>
        <v>43.51</v>
      </c>
      <c r="H20" s="66">
        <f aca="true" t="shared" si="7" ref="H20:H26">ROUND(I20*0.4,2)</f>
        <v>29.01</v>
      </c>
      <c r="I20" s="67">
        <v>72.52</v>
      </c>
      <c r="J20" s="68">
        <f aca="true" t="shared" si="8" ref="J20:J25">ROUND((G20*L$7)+G20,2)</f>
        <v>54.39</v>
      </c>
      <c r="K20" s="68">
        <f aca="true" t="shared" si="9" ref="K20:K26">ROUND((H20*L$7)+H20,2)</f>
        <v>36.26</v>
      </c>
      <c r="L20" s="67">
        <f aca="true" t="shared" si="10" ref="L20:L26">J20+K20</f>
        <v>90.65</v>
      </c>
      <c r="M20" s="66">
        <f aca="true" t="shared" si="11" ref="M20:M26">L20*F20</f>
        <v>39160.8</v>
      </c>
      <c r="N20" s="69">
        <f aca="true" t="shared" si="12" ref="N20:N31">M20/$L$32</f>
        <v>0.6417458213212338</v>
      </c>
    </row>
    <row r="21" spans="1:14" s="39" customFormat="1" ht="15.75" customHeight="1">
      <c r="A21" s="40">
        <v>1</v>
      </c>
      <c r="B21" s="36">
        <v>72820</v>
      </c>
      <c r="C21" s="64" t="s">
        <v>77</v>
      </c>
      <c r="D21" s="70" t="s">
        <v>78</v>
      </c>
      <c r="E21" s="36" t="s">
        <v>67</v>
      </c>
      <c r="F21" s="44">
        <v>54</v>
      </c>
      <c r="G21" s="66">
        <f t="shared" si="6"/>
        <v>18.19</v>
      </c>
      <c r="H21" s="66">
        <f t="shared" si="7"/>
        <v>12.13</v>
      </c>
      <c r="I21" s="67">
        <v>30.32</v>
      </c>
      <c r="J21" s="68">
        <f t="shared" si="8"/>
        <v>22.74</v>
      </c>
      <c r="K21" s="68">
        <f t="shared" si="9"/>
        <v>15.16</v>
      </c>
      <c r="L21" s="67">
        <f t="shared" si="10"/>
        <v>37.9</v>
      </c>
      <c r="M21" s="66">
        <f t="shared" si="11"/>
        <v>2046.6</v>
      </c>
      <c r="N21" s="69">
        <f t="shared" si="12"/>
        <v>0.03353856402106282</v>
      </c>
    </row>
    <row r="22" spans="1:14" s="39" customFormat="1" ht="15.75" customHeight="1">
      <c r="A22" s="40">
        <v>1</v>
      </c>
      <c r="B22" s="36">
        <v>72949</v>
      </c>
      <c r="C22" s="64" t="s">
        <v>79</v>
      </c>
      <c r="D22" s="70" t="s">
        <v>80</v>
      </c>
      <c r="E22" s="36" t="s">
        <v>81</v>
      </c>
      <c r="F22" s="44">
        <v>2.69</v>
      </c>
      <c r="G22" s="66">
        <f t="shared" si="6"/>
        <v>11.23</v>
      </c>
      <c r="H22" s="66">
        <f t="shared" si="7"/>
        <v>7.49</v>
      </c>
      <c r="I22" s="67">
        <v>18.72</v>
      </c>
      <c r="J22" s="68">
        <f t="shared" si="8"/>
        <v>14.04</v>
      </c>
      <c r="K22" s="68">
        <f t="shared" si="9"/>
        <v>9.36</v>
      </c>
      <c r="L22" s="67">
        <f t="shared" si="10"/>
        <v>23.4</v>
      </c>
      <c r="M22" s="66">
        <f t="shared" si="11"/>
        <v>62.946</v>
      </c>
      <c r="N22" s="69">
        <f t="shared" si="12"/>
        <v>0.00103152469992662</v>
      </c>
    </row>
    <row r="23" spans="1:14" s="39" customFormat="1" ht="15.75" customHeight="1">
      <c r="A23" s="40">
        <v>1</v>
      </c>
      <c r="B23" s="41">
        <v>73481</v>
      </c>
      <c r="C23" s="64" t="s">
        <v>82</v>
      </c>
      <c r="D23" s="43" t="s">
        <v>83</v>
      </c>
      <c r="E23" s="36" t="s">
        <v>81</v>
      </c>
      <c r="F23" s="44">
        <v>49.21</v>
      </c>
      <c r="G23" s="66">
        <f t="shared" si="6"/>
        <v>16.51</v>
      </c>
      <c r="H23" s="66">
        <f t="shared" si="7"/>
        <v>11.01</v>
      </c>
      <c r="I23" s="67">
        <v>27.52</v>
      </c>
      <c r="J23" s="68">
        <f t="shared" si="8"/>
        <v>20.64</v>
      </c>
      <c r="K23" s="68">
        <f t="shared" si="9"/>
        <v>13.76</v>
      </c>
      <c r="L23" s="67">
        <f t="shared" si="10"/>
        <v>34.4</v>
      </c>
      <c r="M23" s="66">
        <f t="shared" si="11"/>
        <v>1692.824</v>
      </c>
      <c r="N23" s="69">
        <f t="shared" si="12"/>
        <v>0.02774107597986497</v>
      </c>
    </row>
    <row r="24" spans="1:14" s="39" customFormat="1" ht="15.75" customHeight="1">
      <c r="A24" s="40">
        <v>1</v>
      </c>
      <c r="B24" s="41">
        <v>5622</v>
      </c>
      <c r="C24" s="64" t="s">
        <v>84</v>
      </c>
      <c r="D24" s="43" t="s">
        <v>85</v>
      </c>
      <c r="E24" s="36" t="s">
        <v>55</v>
      </c>
      <c r="F24" s="44">
        <v>53.7</v>
      </c>
      <c r="G24" s="66">
        <f t="shared" si="6"/>
        <v>2.14</v>
      </c>
      <c r="H24" s="66">
        <f t="shared" si="7"/>
        <v>1.42</v>
      </c>
      <c r="I24" s="67">
        <v>3.56</v>
      </c>
      <c r="J24" s="68">
        <f t="shared" si="8"/>
        <v>2.68</v>
      </c>
      <c r="K24" s="68">
        <f t="shared" si="9"/>
        <v>1.78</v>
      </c>
      <c r="L24" s="67">
        <f t="shared" si="10"/>
        <v>4.46</v>
      </c>
      <c r="M24" s="66">
        <f t="shared" si="11"/>
        <v>239.502</v>
      </c>
      <c r="N24" s="69">
        <f t="shared" si="12"/>
        <v>0.0039248280856897235</v>
      </c>
    </row>
    <row r="25" spans="1:14" s="39" customFormat="1" ht="15.75" customHeight="1">
      <c r="A25" s="40">
        <v>1</v>
      </c>
      <c r="B25" s="41" t="s">
        <v>86</v>
      </c>
      <c r="C25" s="64" t="s">
        <v>87</v>
      </c>
      <c r="D25" s="43" t="s">
        <v>88</v>
      </c>
      <c r="E25" s="36" t="s">
        <v>81</v>
      </c>
      <c r="F25" s="44">
        <v>2.69</v>
      </c>
      <c r="G25" s="66">
        <f t="shared" si="6"/>
        <v>42.05</v>
      </c>
      <c r="H25" s="66">
        <f t="shared" si="7"/>
        <v>28.04</v>
      </c>
      <c r="I25" s="67">
        <v>70.09</v>
      </c>
      <c r="J25" s="68">
        <f t="shared" si="8"/>
        <v>52.56</v>
      </c>
      <c r="K25" s="68">
        <f t="shared" si="9"/>
        <v>35.05</v>
      </c>
      <c r="L25" s="67">
        <f t="shared" si="10"/>
        <v>87.61</v>
      </c>
      <c r="M25" s="66">
        <f t="shared" si="11"/>
        <v>235.6709</v>
      </c>
      <c r="N25" s="69">
        <f t="shared" si="12"/>
        <v>0.0038620461094261184</v>
      </c>
    </row>
    <row r="26" spans="1:14" s="39" customFormat="1" ht="15.75" customHeight="1">
      <c r="A26" s="40">
        <v>1</v>
      </c>
      <c r="B26" s="41">
        <v>5970</v>
      </c>
      <c r="C26" s="64" t="s">
        <v>89</v>
      </c>
      <c r="D26" s="71" t="s">
        <v>90</v>
      </c>
      <c r="E26" s="36" t="s">
        <v>55</v>
      </c>
      <c r="F26" s="44">
        <v>71.37</v>
      </c>
      <c r="G26" s="66">
        <f t="shared" si="6"/>
        <v>26.93</v>
      </c>
      <c r="H26" s="66">
        <f t="shared" si="7"/>
        <v>17.96</v>
      </c>
      <c r="I26" s="67">
        <v>44.89</v>
      </c>
      <c r="J26" s="68">
        <v>35.04</v>
      </c>
      <c r="K26" s="68">
        <f t="shared" si="9"/>
        <v>22.45</v>
      </c>
      <c r="L26" s="67">
        <f t="shared" si="10"/>
        <v>57.489999999999995</v>
      </c>
      <c r="M26" s="66">
        <f t="shared" si="11"/>
        <v>4103.0613</v>
      </c>
      <c r="N26" s="69">
        <f t="shared" si="12"/>
        <v>0.06723872964545845</v>
      </c>
    </row>
    <row r="27" spans="1:14" s="39" customFormat="1" ht="15.75" customHeight="1">
      <c r="A27" s="40"/>
      <c r="B27" s="41"/>
      <c r="C27" s="64" t="s">
        <v>91</v>
      </c>
      <c r="D27" s="43" t="s">
        <v>92</v>
      </c>
      <c r="E27" s="36"/>
      <c r="F27" s="44"/>
      <c r="G27" s="66"/>
      <c r="H27" s="72"/>
      <c r="I27" s="67"/>
      <c r="J27" s="68"/>
      <c r="K27" s="68"/>
      <c r="L27" s="67"/>
      <c r="M27" s="66"/>
      <c r="N27" s="69">
        <f t="shared" si="12"/>
        <v>0</v>
      </c>
    </row>
    <row r="28" spans="1:14" s="39" customFormat="1" ht="15.75" customHeight="1">
      <c r="A28" s="40">
        <v>1</v>
      </c>
      <c r="B28" s="41" t="s">
        <v>93</v>
      </c>
      <c r="C28" s="64" t="s">
        <v>94</v>
      </c>
      <c r="D28" s="43" t="s">
        <v>95</v>
      </c>
      <c r="E28" s="36" t="s">
        <v>96</v>
      </c>
      <c r="F28" s="44">
        <v>230.7</v>
      </c>
      <c r="G28" s="66">
        <f>ROUND(I28*0.6,2)</f>
        <v>4.01</v>
      </c>
      <c r="H28" s="66">
        <f>ROUND(I28*0.4,2)</f>
        <v>2.68</v>
      </c>
      <c r="I28" s="67">
        <v>6.69</v>
      </c>
      <c r="J28" s="68">
        <f>ROUND((G28*L$7)+G28,2)</f>
        <v>5.01</v>
      </c>
      <c r="K28" s="68">
        <f>ROUND((H28*L$7)+H28,2)</f>
        <v>3.35</v>
      </c>
      <c r="L28" s="67">
        <f>J28+K28</f>
        <v>8.36</v>
      </c>
      <c r="M28" s="66">
        <f>L28*F28</f>
        <v>1928.6519999999998</v>
      </c>
      <c r="N28" s="69">
        <f t="shared" si="12"/>
        <v>0.03160569655836551</v>
      </c>
    </row>
    <row r="29" spans="1:14" s="39" customFormat="1" ht="15.75" customHeight="1">
      <c r="A29" s="40">
        <v>1</v>
      </c>
      <c r="B29" s="41" t="s">
        <v>97</v>
      </c>
      <c r="C29" s="64" t="s">
        <v>98</v>
      </c>
      <c r="D29" s="43" t="s">
        <v>99</v>
      </c>
      <c r="E29" s="36" t="s">
        <v>96</v>
      </c>
      <c r="F29" s="44">
        <v>222.82</v>
      </c>
      <c r="G29" s="66">
        <f>ROUND(I29*0.6,2)</f>
        <v>4.09</v>
      </c>
      <c r="H29" s="66">
        <f>ROUND(I29*0.4,2)</f>
        <v>2.72</v>
      </c>
      <c r="I29" s="67">
        <v>6.81</v>
      </c>
      <c r="J29" s="68">
        <f>ROUND((G29*L$7)+G29,2)</f>
        <v>5.11</v>
      </c>
      <c r="K29" s="68">
        <f>ROUND((H29*L$7)+H29,2)</f>
        <v>3.4</v>
      </c>
      <c r="L29" s="67">
        <f>J29+K29</f>
        <v>8.51</v>
      </c>
      <c r="M29" s="66">
        <f>L29*F29</f>
        <v>1896.1981999999998</v>
      </c>
      <c r="N29" s="69">
        <f t="shared" si="12"/>
        <v>0.031073861393200466</v>
      </c>
    </row>
    <row r="30" spans="1:14" s="39" customFormat="1" ht="15.75" customHeight="1">
      <c r="A30" s="40">
        <v>1</v>
      </c>
      <c r="B30" s="41" t="s">
        <v>100</v>
      </c>
      <c r="C30" s="64" t="s">
        <v>101</v>
      </c>
      <c r="D30" s="73" t="s">
        <v>102</v>
      </c>
      <c r="E30" s="36" t="s">
        <v>81</v>
      </c>
      <c r="F30" s="44">
        <v>19.79</v>
      </c>
      <c r="G30" s="66">
        <f>ROUND(I30*0.6,2)</f>
        <v>229.9</v>
      </c>
      <c r="H30" s="66">
        <f>ROUND(I30*0.4,2)</f>
        <v>153.27</v>
      </c>
      <c r="I30" s="67">
        <v>383.17</v>
      </c>
      <c r="J30" s="68">
        <f>ROUND((G30*L$7)+G30,2)</f>
        <v>287.38</v>
      </c>
      <c r="K30" s="68">
        <f>ROUND((H30*L$7)+H30,2)</f>
        <v>191.59</v>
      </c>
      <c r="L30" s="67">
        <f>J30+K30</f>
        <v>478.97</v>
      </c>
      <c r="M30" s="66">
        <f>L30*F30</f>
        <v>9478.8163</v>
      </c>
      <c r="N30" s="69">
        <f t="shared" si="12"/>
        <v>0.15533366916908228</v>
      </c>
    </row>
    <row r="31" spans="1:14" s="39" customFormat="1" ht="15.75" customHeight="1">
      <c r="A31" s="40">
        <v>1</v>
      </c>
      <c r="B31" s="74">
        <v>79488</v>
      </c>
      <c r="C31" s="64" t="s">
        <v>103</v>
      </c>
      <c r="D31" s="75" t="s">
        <v>104</v>
      </c>
      <c r="E31" s="36" t="s">
        <v>81</v>
      </c>
      <c r="F31" s="44">
        <f>ROUND(F23-F25-F30,2)</f>
        <v>26.73</v>
      </c>
      <c r="G31" s="66">
        <f>ROUND(I31*0.6,2)</f>
        <v>3.18</v>
      </c>
      <c r="H31" s="66">
        <f>ROUND(I31*0.4,2)</f>
        <v>2.12</v>
      </c>
      <c r="I31" s="67">
        <v>5.3</v>
      </c>
      <c r="J31" s="68">
        <f>ROUND((G31*L$7)+G31,2)</f>
        <v>3.98</v>
      </c>
      <c r="K31" s="68">
        <f>ROUND((H31*L$7)+H31,2)</f>
        <v>2.65</v>
      </c>
      <c r="L31" s="67">
        <f>J31+K31</f>
        <v>6.63</v>
      </c>
      <c r="M31" s="66">
        <f>L31*F31</f>
        <v>177.2199</v>
      </c>
      <c r="N31" s="69">
        <f t="shared" si="12"/>
        <v>0.0029041830166893143</v>
      </c>
    </row>
    <row r="32" spans="1:16" s="39" customFormat="1" ht="15.75" customHeight="1">
      <c r="A32" s="53"/>
      <c r="B32" s="54"/>
      <c r="C32" s="55"/>
      <c r="D32" s="159" t="s">
        <v>71</v>
      </c>
      <c r="E32" s="159"/>
      <c r="F32" s="159"/>
      <c r="G32" s="159"/>
      <c r="H32" s="159"/>
      <c r="I32" s="159"/>
      <c r="J32" s="159"/>
      <c r="K32" s="159"/>
      <c r="L32" s="160">
        <f>SUM(M20:M31)</f>
        <v>61022.2906</v>
      </c>
      <c r="M32" s="160"/>
      <c r="N32" s="57" t="e">
        <f>L32/L$113</f>
        <v>#REF!</v>
      </c>
      <c r="O32" s="58"/>
      <c r="P32" s="59">
        <f>SUM(N21:N31)</f>
        <v>0.35825417867876624</v>
      </c>
    </row>
    <row r="33" spans="1:16" s="39" customFormat="1" ht="15" customHeight="1">
      <c r="A33" s="32"/>
      <c r="B33" s="33"/>
      <c r="C33" s="34" t="s">
        <v>105</v>
      </c>
      <c r="D33" s="76" t="s">
        <v>106</v>
      </c>
      <c r="E33" s="77"/>
      <c r="F33" s="77"/>
      <c r="G33" s="77"/>
      <c r="H33" s="77"/>
      <c r="I33" s="78"/>
      <c r="J33" s="79"/>
      <c r="K33" s="79"/>
      <c r="L33" s="56"/>
      <c r="M33" s="80"/>
      <c r="N33" s="81"/>
      <c r="P33" s="82"/>
    </row>
    <row r="34" spans="1:16" s="39" customFormat="1" ht="15.75" customHeight="1">
      <c r="A34" s="40">
        <v>1</v>
      </c>
      <c r="B34" s="36">
        <v>72945</v>
      </c>
      <c r="C34" s="64" t="s">
        <v>107</v>
      </c>
      <c r="D34" s="40" t="s">
        <v>108</v>
      </c>
      <c r="E34" s="36" t="s">
        <v>55</v>
      </c>
      <c r="F34" s="44">
        <v>53.7</v>
      </c>
      <c r="G34" s="66">
        <f aca="true" t="shared" si="13" ref="G34:G40">ROUND(I34*0.6,2)</f>
        <v>2.81</v>
      </c>
      <c r="H34" s="66">
        <f aca="true" t="shared" si="14" ref="H34:H40">ROUND(I34*0.4,2)</f>
        <v>1.87</v>
      </c>
      <c r="I34" s="67">
        <v>4.68</v>
      </c>
      <c r="J34" s="68">
        <f aca="true" t="shared" si="15" ref="J34:J40">ROUND((G34*L$7)+G34,2)</f>
        <v>3.51</v>
      </c>
      <c r="K34" s="68">
        <f>ROUND((H34*L$7)+H34,2)</f>
        <v>2.34</v>
      </c>
      <c r="L34" s="67">
        <f aca="true" t="shared" si="16" ref="L34:L40">J34+K34</f>
        <v>5.85</v>
      </c>
      <c r="M34" s="66">
        <f aca="true" t="shared" si="17" ref="M34:M40">L34*F34</f>
        <v>314.145</v>
      </c>
      <c r="N34" s="69">
        <f aca="true" t="shared" si="18" ref="N34:N40">M34/$L$41</f>
        <v>0.005458722786272095</v>
      </c>
      <c r="P34" s="82"/>
    </row>
    <row r="35" spans="1:16" s="39" customFormat="1" ht="15.75" customHeight="1">
      <c r="A35" s="40">
        <v>1</v>
      </c>
      <c r="B35" s="36">
        <v>72943</v>
      </c>
      <c r="C35" s="64" t="s">
        <v>109</v>
      </c>
      <c r="D35" s="40" t="s">
        <v>110</v>
      </c>
      <c r="E35" s="36" t="s">
        <v>55</v>
      </c>
      <c r="F35" s="44">
        <f>F12</f>
        <v>2260</v>
      </c>
      <c r="G35" s="66">
        <f t="shared" si="13"/>
        <v>0.79</v>
      </c>
      <c r="H35" s="66">
        <f t="shared" si="14"/>
        <v>0.53</v>
      </c>
      <c r="I35" s="67">
        <v>1.32</v>
      </c>
      <c r="J35" s="68">
        <f t="shared" si="15"/>
        <v>0.99</v>
      </c>
      <c r="K35" s="68">
        <f>ROUND((H35*L$7)+H35,2)</f>
        <v>0.66</v>
      </c>
      <c r="L35" s="67">
        <f t="shared" si="16"/>
        <v>1.65</v>
      </c>
      <c r="M35" s="66">
        <f t="shared" si="17"/>
        <v>3729</v>
      </c>
      <c r="N35" s="69">
        <f t="shared" si="18"/>
        <v>0.0647967571344718</v>
      </c>
      <c r="P35" s="82"/>
    </row>
    <row r="36" spans="1:16" s="39" customFormat="1" ht="15.75" customHeight="1">
      <c r="A36" s="40">
        <v>1</v>
      </c>
      <c r="B36" s="36">
        <v>72965</v>
      </c>
      <c r="C36" s="64" t="s">
        <v>111</v>
      </c>
      <c r="D36" s="83" t="s">
        <v>112</v>
      </c>
      <c r="E36" s="36" t="s">
        <v>113</v>
      </c>
      <c r="F36" s="44">
        <v>187.42</v>
      </c>
      <c r="G36" s="66">
        <f t="shared" si="13"/>
        <v>118.04</v>
      </c>
      <c r="H36" s="66">
        <f t="shared" si="14"/>
        <v>78.69</v>
      </c>
      <c r="I36" s="67">
        <v>196.73</v>
      </c>
      <c r="J36" s="68">
        <f t="shared" si="15"/>
        <v>147.55</v>
      </c>
      <c r="K36" s="68">
        <f>ROUND((H36*L7)+H36,2)</f>
        <v>98.36</v>
      </c>
      <c r="L36" s="67">
        <f t="shared" si="16"/>
        <v>245.91000000000003</v>
      </c>
      <c r="M36" s="66">
        <f t="shared" si="17"/>
        <v>46088.4522</v>
      </c>
      <c r="N36" s="69">
        <f t="shared" si="18"/>
        <v>0.8008533772880431</v>
      </c>
      <c r="P36" s="82"/>
    </row>
    <row r="37" spans="1:16" s="39" customFormat="1" ht="15.75" customHeight="1">
      <c r="A37" s="40">
        <v>1</v>
      </c>
      <c r="B37" s="36">
        <v>83359</v>
      </c>
      <c r="C37" s="64" t="s">
        <v>114</v>
      </c>
      <c r="D37" s="40" t="s">
        <v>115</v>
      </c>
      <c r="E37" s="36" t="s">
        <v>116</v>
      </c>
      <c r="F37" s="44">
        <v>1874.16</v>
      </c>
      <c r="G37" s="66">
        <f t="shared" si="13"/>
        <v>1.42</v>
      </c>
      <c r="H37" s="66">
        <f t="shared" si="14"/>
        <v>0.94</v>
      </c>
      <c r="I37" s="67">
        <v>2.36</v>
      </c>
      <c r="J37" s="68">
        <f t="shared" si="15"/>
        <v>1.78</v>
      </c>
      <c r="K37" s="68">
        <f>ROUND((H37*L$7)+H37,2)</f>
        <v>1.18</v>
      </c>
      <c r="L37" s="67">
        <f t="shared" si="16"/>
        <v>2.96</v>
      </c>
      <c r="M37" s="66">
        <f t="shared" si="17"/>
        <v>5547.5136</v>
      </c>
      <c r="N37" s="69">
        <f t="shared" si="18"/>
        <v>0.09639605562868848</v>
      </c>
      <c r="P37" s="82"/>
    </row>
    <row r="38" spans="1:16" s="39" customFormat="1" ht="15.75" customHeight="1">
      <c r="A38" s="40">
        <v>1</v>
      </c>
      <c r="B38" s="36">
        <v>78018</v>
      </c>
      <c r="C38" s="64" t="s">
        <v>117</v>
      </c>
      <c r="D38" s="40" t="s">
        <v>118</v>
      </c>
      <c r="E38" s="36" t="s">
        <v>81</v>
      </c>
      <c r="F38" s="44">
        <v>4.94</v>
      </c>
      <c r="G38" s="66">
        <f t="shared" si="13"/>
        <v>15.54</v>
      </c>
      <c r="H38" s="66">
        <f t="shared" si="14"/>
        <v>10.36</v>
      </c>
      <c r="I38" s="67">
        <v>25.9</v>
      </c>
      <c r="J38" s="68">
        <f t="shared" si="15"/>
        <v>19.43</v>
      </c>
      <c r="K38" s="68">
        <f>ROUND((H38*L$7)+H38,2)</f>
        <v>12.95</v>
      </c>
      <c r="L38" s="67">
        <f t="shared" si="16"/>
        <v>32.379999999999995</v>
      </c>
      <c r="M38" s="66">
        <f t="shared" si="17"/>
        <v>159.9572</v>
      </c>
      <c r="N38" s="69">
        <f t="shared" si="18"/>
        <v>0.0027794872191767585</v>
      </c>
      <c r="P38" s="82"/>
    </row>
    <row r="39" spans="1:16" s="39" customFormat="1" ht="15.75" customHeight="1">
      <c r="A39" s="40">
        <v>1</v>
      </c>
      <c r="B39" s="36" t="s">
        <v>86</v>
      </c>
      <c r="C39" s="64" t="s">
        <v>119</v>
      </c>
      <c r="D39" s="40" t="s">
        <v>120</v>
      </c>
      <c r="E39" s="36" t="s">
        <v>81</v>
      </c>
      <c r="F39" s="84">
        <v>2.91</v>
      </c>
      <c r="G39" s="66">
        <f t="shared" si="13"/>
        <v>42.05</v>
      </c>
      <c r="H39" s="66">
        <f t="shared" si="14"/>
        <v>28.04</v>
      </c>
      <c r="I39" s="67">
        <v>70.09</v>
      </c>
      <c r="J39" s="68">
        <f t="shared" si="15"/>
        <v>52.56</v>
      </c>
      <c r="K39" s="68">
        <f>ROUND((H39*L$7)+H39,2)</f>
        <v>35.05</v>
      </c>
      <c r="L39" s="67">
        <f t="shared" si="16"/>
        <v>87.61</v>
      </c>
      <c r="M39" s="66">
        <f t="shared" si="17"/>
        <v>254.94510000000002</v>
      </c>
      <c r="N39" s="69">
        <f t="shared" si="18"/>
        <v>0.0044300390794646365</v>
      </c>
      <c r="P39" s="82"/>
    </row>
    <row r="40" spans="1:16" s="39" customFormat="1" ht="15.75" customHeight="1">
      <c r="A40" s="40">
        <v>1</v>
      </c>
      <c r="B40" s="36">
        <v>72182</v>
      </c>
      <c r="C40" s="64" t="s">
        <v>121</v>
      </c>
      <c r="D40" s="40" t="s">
        <v>122</v>
      </c>
      <c r="E40" s="36" t="s">
        <v>55</v>
      </c>
      <c r="F40" s="44">
        <v>29.08</v>
      </c>
      <c r="G40" s="66">
        <f t="shared" si="13"/>
        <v>24.02</v>
      </c>
      <c r="H40" s="66">
        <f t="shared" si="14"/>
        <v>16.01</v>
      </c>
      <c r="I40" s="67">
        <v>40.03</v>
      </c>
      <c r="J40" s="68">
        <f t="shared" si="15"/>
        <v>30.03</v>
      </c>
      <c r="K40" s="68">
        <f>ROUND((H40*L$7)+H40,2)</f>
        <v>20.01</v>
      </c>
      <c r="L40" s="67">
        <f t="shared" si="16"/>
        <v>50.040000000000006</v>
      </c>
      <c r="M40" s="66">
        <f t="shared" si="17"/>
        <v>1455.1632000000002</v>
      </c>
      <c r="N40" s="69">
        <f t="shared" si="18"/>
        <v>0.0252855608638833</v>
      </c>
      <c r="P40" s="82"/>
    </row>
    <row r="41" spans="1:16" s="39" customFormat="1" ht="15.75" customHeight="1">
      <c r="A41" s="53"/>
      <c r="B41" s="54"/>
      <c r="C41" s="55"/>
      <c r="D41" s="159" t="s">
        <v>71</v>
      </c>
      <c r="E41" s="159"/>
      <c r="F41" s="159"/>
      <c r="G41" s="159"/>
      <c r="H41" s="159"/>
      <c r="I41" s="159"/>
      <c r="J41" s="159"/>
      <c r="K41" s="159"/>
      <c r="L41" s="160">
        <f>SUM(M34:M40)</f>
        <v>57549.17629999999</v>
      </c>
      <c r="M41" s="160"/>
      <c r="N41" s="57" t="e">
        <f>L41/L$113</f>
        <v>#REF!</v>
      </c>
      <c r="O41" s="58"/>
      <c r="P41" s="59" t="e">
        <f>SUM("#REF!#REF!:#REF!#REF!")</f>
        <v>#VALUE!</v>
      </c>
    </row>
    <row r="42" spans="1:14" s="39" customFormat="1" ht="15.75" customHeight="1">
      <c r="A42" s="32"/>
      <c r="B42" s="33"/>
      <c r="C42" s="34" t="s">
        <v>123</v>
      </c>
      <c r="D42" s="35" t="s">
        <v>124</v>
      </c>
      <c r="E42" s="36"/>
      <c r="F42" s="44"/>
      <c r="G42" s="32"/>
      <c r="H42" s="32"/>
      <c r="I42" s="85"/>
      <c r="J42" s="86"/>
      <c r="K42" s="86"/>
      <c r="L42" s="85"/>
      <c r="M42" s="86"/>
      <c r="N42" s="86"/>
    </row>
    <row r="43" spans="1:14" s="39" customFormat="1" ht="15.75" customHeight="1">
      <c r="A43" s="40">
        <v>1</v>
      </c>
      <c r="B43" s="36" t="s">
        <v>125</v>
      </c>
      <c r="C43" s="64" t="s">
        <v>126</v>
      </c>
      <c r="D43" s="87" t="s">
        <v>127</v>
      </c>
      <c r="E43" s="36" t="s">
        <v>55</v>
      </c>
      <c r="F43" s="44">
        <f>ROUND(23.6*31.7,2)</f>
        <v>748.12</v>
      </c>
      <c r="G43" s="66" t="e">
        <f aca="true" t="shared" si="19" ref="G43:G48">ROUND(I43*0.6,2)</f>
        <v>#REF!</v>
      </c>
      <c r="H43" s="66" t="e">
        <f aca="true" t="shared" si="20" ref="H43:H48">ROUND(I43*0.4,2)</f>
        <v>#REF!</v>
      </c>
      <c r="I43" s="67" t="e">
        <f>#REF!</f>
        <v>#REF!</v>
      </c>
      <c r="J43" s="68" t="e">
        <f aca="true" t="shared" si="21" ref="J43:J48">ROUND((G43*L$7)+G43,2)</f>
        <v>#REF!</v>
      </c>
      <c r="K43" s="68" t="e">
        <f aca="true" t="shared" si="22" ref="K43:K48">ROUND((H43*L$7)+H43,2)</f>
        <v>#REF!</v>
      </c>
      <c r="L43" s="67" t="e">
        <f aca="true" t="shared" si="23" ref="L43:L48">J43+K43</f>
        <v>#REF!</v>
      </c>
      <c r="M43" s="66" t="e">
        <f aca="true" t="shared" si="24" ref="M43:M48">L43*F43</f>
        <v>#REF!</v>
      </c>
      <c r="N43" s="69" t="e">
        <f aca="true" t="shared" si="25" ref="N43:N48">M43/$L$50</f>
        <v>#REF!</v>
      </c>
    </row>
    <row r="44" spans="1:14" s="39" customFormat="1" ht="15.75" customHeight="1">
      <c r="A44" s="40">
        <v>1</v>
      </c>
      <c r="B44" s="36" t="s">
        <v>128</v>
      </c>
      <c r="C44" s="64" t="s">
        <v>129</v>
      </c>
      <c r="D44" s="73" t="s">
        <v>130</v>
      </c>
      <c r="E44" s="36" t="s">
        <v>55</v>
      </c>
      <c r="F44" s="44">
        <v>770.7</v>
      </c>
      <c r="G44" s="66">
        <f t="shared" si="19"/>
        <v>17.83</v>
      </c>
      <c r="H44" s="66">
        <f t="shared" si="20"/>
        <v>11.89</v>
      </c>
      <c r="I44" s="37">
        <v>29.72</v>
      </c>
      <c r="J44" s="68">
        <f t="shared" si="21"/>
        <v>22.29</v>
      </c>
      <c r="K44" s="68">
        <f t="shared" si="22"/>
        <v>14.86</v>
      </c>
      <c r="L44" s="67">
        <f t="shared" si="23"/>
        <v>37.15</v>
      </c>
      <c r="M44" s="66">
        <f t="shared" si="24"/>
        <v>28631.505</v>
      </c>
      <c r="N44" s="69" t="e">
        <f t="shared" si="25"/>
        <v>#REF!</v>
      </c>
    </row>
    <row r="45" spans="1:14" s="39" customFormat="1" ht="15.75" customHeight="1">
      <c r="A45" s="40">
        <v>1</v>
      </c>
      <c r="B45" s="36">
        <v>84040</v>
      </c>
      <c r="C45" s="64" t="s">
        <v>131</v>
      </c>
      <c r="D45" s="73" t="s">
        <v>132</v>
      </c>
      <c r="E45" s="36" t="s">
        <v>55</v>
      </c>
      <c r="F45" s="44">
        <v>255.82</v>
      </c>
      <c r="G45" s="66">
        <f t="shared" si="19"/>
        <v>15.67</v>
      </c>
      <c r="H45" s="66">
        <f t="shared" si="20"/>
        <v>10.44</v>
      </c>
      <c r="I45" s="37">
        <v>26.11</v>
      </c>
      <c r="J45" s="68">
        <f t="shared" si="21"/>
        <v>19.59</v>
      </c>
      <c r="K45" s="68">
        <f t="shared" si="22"/>
        <v>13.05</v>
      </c>
      <c r="L45" s="67">
        <f t="shared" si="23"/>
        <v>32.64</v>
      </c>
      <c r="M45" s="66">
        <f t="shared" si="24"/>
        <v>8349.9648</v>
      </c>
      <c r="N45" s="69" t="e">
        <f t="shared" si="25"/>
        <v>#REF!</v>
      </c>
    </row>
    <row r="46" spans="1:14" s="39" customFormat="1" ht="27.75" customHeight="1">
      <c r="A46" s="40">
        <v>1</v>
      </c>
      <c r="B46" s="36" t="s">
        <v>133</v>
      </c>
      <c r="C46" s="64" t="s">
        <v>134</v>
      </c>
      <c r="D46" s="73" t="s">
        <v>135</v>
      </c>
      <c r="E46" s="36" t="s">
        <v>55</v>
      </c>
      <c r="F46" s="44">
        <f>F44+F45</f>
        <v>1026.52</v>
      </c>
      <c r="G46" s="66">
        <f t="shared" si="19"/>
        <v>7.2</v>
      </c>
      <c r="H46" s="66">
        <f t="shared" si="20"/>
        <v>4.8</v>
      </c>
      <c r="I46" s="37">
        <v>12</v>
      </c>
      <c r="J46" s="68">
        <f t="shared" si="21"/>
        <v>9</v>
      </c>
      <c r="K46" s="68">
        <f t="shared" si="22"/>
        <v>6</v>
      </c>
      <c r="L46" s="67">
        <f t="shared" si="23"/>
        <v>15</v>
      </c>
      <c r="M46" s="66">
        <f t="shared" si="24"/>
        <v>15397.8</v>
      </c>
      <c r="N46" s="69" t="e">
        <f t="shared" si="25"/>
        <v>#REF!</v>
      </c>
    </row>
    <row r="47" spans="1:14" s="39" customFormat="1" ht="15.75" customHeight="1">
      <c r="A47" s="40">
        <v>1</v>
      </c>
      <c r="B47" s="36">
        <v>41619</v>
      </c>
      <c r="C47" s="64" t="s">
        <v>136</v>
      </c>
      <c r="D47" s="88" t="s">
        <v>137</v>
      </c>
      <c r="E47" s="36" t="s">
        <v>55</v>
      </c>
      <c r="F47" s="44">
        <v>194.14</v>
      </c>
      <c r="G47" s="66">
        <f t="shared" si="19"/>
        <v>18.7</v>
      </c>
      <c r="H47" s="66">
        <f t="shared" si="20"/>
        <v>12.46</v>
      </c>
      <c r="I47" s="37">
        <v>31.16</v>
      </c>
      <c r="J47" s="68">
        <f t="shared" si="21"/>
        <v>23.38</v>
      </c>
      <c r="K47" s="68">
        <f t="shared" si="22"/>
        <v>15.58</v>
      </c>
      <c r="L47" s="67">
        <f t="shared" si="23"/>
        <v>38.96</v>
      </c>
      <c r="M47" s="66">
        <f t="shared" si="24"/>
        <v>7563.694399999999</v>
      </c>
      <c r="N47" s="69" t="e">
        <f t="shared" si="25"/>
        <v>#REF!</v>
      </c>
    </row>
    <row r="48" spans="1:14" s="39" customFormat="1" ht="27.75" customHeight="1">
      <c r="A48" s="40">
        <v>1</v>
      </c>
      <c r="B48" s="36" t="s">
        <v>138</v>
      </c>
      <c r="C48" s="64" t="s">
        <v>139</v>
      </c>
      <c r="D48" s="89" t="s">
        <v>140</v>
      </c>
      <c r="E48" s="36" t="s">
        <v>55</v>
      </c>
      <c r="F48" s="44">
        <f>ROUND((18.7+20.4+28+10.2+5.25)*1.9,2)</f>
        <v>156.85</v>
      </c>
      <c r="G48" s="66" t="e">
        <f t="shared" si="19"/>
        <v>#REF!</v>
      </c>
      <c r="H48" s="66" t="e">
        <f t="shared" si="20"/>
        <v>#REF!</v>
      </c>
      <c r="I48" s="37" t="e">
        <f>#REF!</f>
        <v>#REF!</v>
      </c>
      <c r="J48" s="68" t="e">
        <f t="shared" si="21"/>
        <v>#REF!</v>
      </c>
      <c r="K48" s="68" t="e">
        <f t="shared" si="22"/>
        <v>#REF!</v>
      </c>
      <c r="L48" s="67" t="e">
        <f t="shared" si="23"/>
        <v>#REF!</v>
      </c>
      <c r="M48" s="66" t="e">
        <f t="shared" si="24"/>
        <v>#REF!</v>
      </c>
      <c r="N48" s="69" t="e">
        <f t="shared" si="25"/>
        <v>#REF!</v>
      </c>
    </row>
    <row r="49" spans="1:14" s="25" customFormat="1" ht="17.25" customHeight="1">
      <c r="A49" s="161" t="s">
        <v>13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</row>
    <row r="50" spans="1:16" s="25" customFormat="1" ht="15.75" customHeight="1">
      <c r="A50" s="53"/>
      <c r="B50" s="54"/>
      <c r="C50" s="55"/>
      <c r="D50" s="162" t="s">
        <v>71</v>
      </c>
      <c r="E50" s="162"/>
      <c r="F50" s="162"/>
      <c r="G50" s="162"/>
      <c r="H50" s="162"/>
      <c r="I50" s="162"/>
      <c r="J50" s="162"/>
      <c r="K50" s="162"/>
      <c r="L50" s="160" t="e">
        <f>SUM(M43:M48)</f>
        <v>#REF!</v>
      </c>
      <c r="M50" s="160"/>
      <c r="N50" s="57" t="e">
        <f>L50/L$113</f>
        <v>#REF!</v>
      </c>
      <c r="O50" s="58"/>
      <c r="P50" s="59" t="e">
        <f>NA()</f>
        <v>#N/A</v>
      </c>
    </row>
    <row r="51" spans="1:14" s="25" customFormat="1" ht="15.75" customHeight="1">
      <c r="A51" s="32"/>
      <c r="B51" s="33"/>
      <c r="C51" s="34" t="s">
        <v>141</v>
      </c>
      <c r="D51" s="35" t="s">
        <v>142</v>
      </c>
      <c r="E51" s="36"/>
      <c r="F51" s="44"/>
      <c r="G51" s="32"/>
      <c r="H51" s="32"/>
      <c r="I51" s="85"/>
      <c r="J51" s="86"/>
      <c r="K51" s="86"/>
      <c r="L51" s="85"/>
      <c r="M51" s="86"/>
      <c r="N51" s="86"/>
    </row>
    <row r="52" spans="1:14" s="39" customFormat="1" ht="15.75" customHeight="1">
      <c r="A52" s="40">
        <v>1</v>
      </c>
      <c r="B52" s="36">
        <v>72105</v>
      </c>
      <c r="C52" s="64" t="s">
        <v>143</v>
      </c>
      <c r="D52" s="40" t="s">
        <v>144</v>
      </c>
      <c r="E52" s="36" t="s">
        <v>76</v>
      </c>
      <c r="F52" s="44">
        <f>ROUND(2*31.75,2)</f>
        <v>63.5</v>
      </c>
      <c r="G52" s="66">
        <f>ROUND(I52*0.6,2)</f>
        <v>24.55</v>
      </c>
      <c r="H52" s="66">
        <f>ROUND(I52*0.4,2)</f>
        <v>16.37</v>
      </c>
      <c r="I52" s="37">
        <v>40.92</v>
      </c>
      <c r="J52" s="68">
        <f>ROUND((G52*L$7)+G52,2)</f>
        <v>30.69</v>
      </c>
      <c r="K52" s="68">
        <f>ROUND((H52*L$7)+H52,2)</f>
        <v>20.46</v>
      </c>
      <c r="L52" s="67">
        <f>J52+K52</f>
        <v>51.150000000000006</v>
      </c>
      <c r="M52" s="66">
        <f>L52*F52</f>
        <v>3248.0250000000005</v>
      </c>
      <c r="N52" s="69">
        <f>M52/$L$65</f>
        <v>0.20863069949304852</v>
      </c>
    </row>
    <row r="53" spans="1:14" s="39" customFormat="1" ht="15.75" customHeight="1">
      <c r="A53" s="40">
        <v>1</v>
      </c>
      <c r="B53" s="36">
        <v>9840</v>
      </c>
      <c r="C53" s="64" t="s">
        <v>145</v>
      </c>
      <c r="D53" s="40" t="s">
        <v>146</v>
      </c>
      <c r="E53" s="36" t="s">
        <v>76</v>
      </c>
      <c r="F53" s="44">
        <f>ROUND(2.7*6,2)</f>
        <v>16.2</v>
      </c>
      <c r="G53" s="66">
        <f>ROUND(I53*0.6,2)</f>
        <v>20.7</v>
      </c>
      <c r="H53" s="66">
        <f>ROUND(I53*0.4,2)</f>
        <v>13.8</v>
      </c>
      <c r="I53" s="37">
        <v>34.5</v>
      </c>
      <c r="J53" s="68">
        <f>ROUND((G53*L$7)+G53,2)</f>
        <v>25.88</v>
      </c>
      <c r="K53" s="68">
        <f>ROUND((H53*L$7)+H53,2)</f>
        <v>17.25</v>
      </c>
      <c r="L53" s="67">
        <f>J53+K53</f>
        <v>43.129999999999995</v>
      </c>
      <c r="M53" s="66">
        <f>L53*F53</f>
        <v>698.7059999999999</v>
      </c>
      <c r="N53" s="69">
        <f>M53/$L$65</f>
        <v>0.04488004911291937</v>
      </c>
    </row>
    <row r="54" spans="1:14" s="39" customFormat="1" ht="15.75" customHeight="1">
      <c r="A54" s="40">
        <v>1</v>
      </c>
      <c r="B54" s="36" t="s">
        <v>147</v>
      </c>
      <c r="C54" s="64" t="s">
        <v>148</v>
      </c>
      <c r="D54" s="40" t="s">
        <v>149</v>
      </c>
      <c r="E54" s="36" t="s">
        <v>81</v>
      </c>
      <c r="F54" s="44">
        <f>ROUND((32.39+(2*24.71)+10.72+9.78)*0.6*0.7,2)</f>
        <v>42.97</v>
      </c>
      <c r="G54" s="66">
        <f>ROUND(I54*0.6,2)</f>
        <v>48.57</v>
      </c>
      <c r="H54" s="66">
        <f>ROUND(I54*0.4,2)</f>
        <v>32.38</v>
      </c>
      <c r="I54" s="37">
        <v>80.95</v>
      </c>
      <c r="J54" s="68">
        <f>ROUND((G54*L$7)+G54,2)</f>
        <v>60.71</v>
      </c>
      <c r="K54" s="68">
        <f>ROUND((H54*L$7)+H54,2)</f>
        <v>40.48</v>
      </c>
      <c r="L54" s="67">
        <f>J54+K54</f>
        <v>101.19</v>
      </c>
      <c r="M54" s="66">
        <f>L54*F54</f>
        <v>4348.1343</v>
      </c>
      <c r="N54" s="69">
        <f>M54/$L$65</f>
        <v>0.2792941250448247</v>
      </c>
    </row>
    <row r="55" spans="1:14" s="39" customFormat="1" ht="15.75" customHeight="1">
      <c r="A55" s="40"/>
      <c r="B55" s="36"/>
      <c r="C55" s="64" t="s">
        <v>150</v>
      </c>
      <c r="D55" s="40" t="s">
        <v>151</v>
      </c>
      <c r="E55" s="36"/>
      <c r="F55" s="44"/>
      <c r="G55" s="66"/>
      <c r="H55" s="66"/>
      <c r="I55" s="37"/>
      <c r="J55" s="68"/>
      <c r="K55" s="68"/>
      <c r="L55" s="67"/>
      <c r="M55" s="66"/>
      <c r="N55" s="69"/>
    </row>
    <row r="56" spans="1:14" s="39" customFormat="1" ht="15.75" customHeight="1">
      <c r="A56" s="40">
        <v>1</v>
      </c>
      <c r="B56" s="36" t="s">
        <v>152</v>
      </c>
      <c r="C56" s="64" t="s">
        <v>153</v>
      </c>
      <c r="D56" s="40" t="s">
        <v>154</v>
      </c>
      <c r="E56" s="36" t="s">
        <v>76</v>
      </c>
      <c r="F56" s="44">
        <f>ROUND(8.11+7.86+8.31,2)</f>
        <v>24.28</v>
      </c>
      <c r="G56" s="66">
        <f>ROUND(I56*0.6,2)</f>
        <v>1.88</v>
      </c>
      <c r="H56" s="66">
        <f>ROUND(I56*0.4,2)</f>
        <v>1.25</v>
      </c>
      <c r="I56" s="37">
        <v>3.13</v>
      </c>
      <c r="J56" s="68">
        <f>ROUND((G56*L$7)+G56,2)</f>
        <v>2.35</v>
      </c>
      <c r="K56" s="68">
        <f>ROUND((H56*L$7)+H56,2)</f>
        <v>1.56</v>
      </c>
      <c r="L56" s="67">
        <f>J56+K56</f>
        <v>3.91</v>
      </c>
      <c r="M56" s="66">
        <f>L56*F56</f>
        <v>94.93480000000001</v>
      </c>
      <c r="N56" s="69">
        <f>M56/$L$65</f>
        <v>0.006097956059523145</v>
      </c>
    </row>
    <row r="57" spans="1:14" s="39" customFormat="1" ht="15.75" customHeight="1">
      <c r="A57" s="40">
        <v>1</v>
      </c>
      <c r="B57" s="36" t="s">
        <v>155</v>
      </c>
      <c r="C57" s="64" t="s">
        <v>156</v>
      </c>
      <c r="D57" s="40" t="s">
        <v>157</v>
      </c>
      <c r="E57" s="36" t="s">
        <v>76</v>
      </c>
      <c r="F57" s="44">
        <f>ROUND(24.71+24.71+10.72+9.78+8.11,2)</f>
        <v>78.03</v>
      </c>
      <c r="G57" s="66">
        <f>ROUND(I57*0.6,2)</f>
        <v>2.12</v>
      </c>
      <c r="H57" s="66">
        <f>ROUND(I57*0.4,2)</f>
        <v>1.41</v>
      </c>
      <c r="I57" s="37">
        <v>3.53</v>
      </c>
      <c r="J57" s="68">
        <f>ROUND((G57*L$7)+G57,2)</f>
        <v>2.65</v>
      </c>
      <c r="K57" s="68">
        <f>ROUND((H57*L$7)+H57,2)</f>
        <v>1.76</v>
      </c>
      <c r="L57" s="67">
        <f>J57+K57</f>
        <v>4.41</v>
      </c>
      <c r="M57" s="66">
        <f>L57*F57</f>
        <v>344.1123</v>
      </c>
      <c r="N57" s="69">
        <f>M57/$L$65</f>
        <v>0.02210339817370918</v>
      </c>
    </row>
    <row r="58" spans="1:14" s="39" customFormat="1" ht="15.75" customHeight="1">
      <c r="A58" s="40"/>
      <c r="B58" s="36"/>
      <c r="C58" s="64" t="s">
        <v>158</v>
      </c>
      <c r="D58" s="40" t="s">
        <v>159</v>
      </c>
      <c r="E58" s="36"/>
      <c r="F58" s="44"/>
      <c r="G58" s="66"/>
      <c r="H58" s="66"/>
      <c r="I58" s="37"/>
      <c r="J58" s="68"/>
      <c r="K58" s="68"/>
      <c r="L58" s="67"/>
      <c r="M58" s="66"/>
      <c r="N58" s="69"/>
    </row>
    <row r="59" spans="1:14" s="39" customFormat="1" ht="15.75" customHeight="1">
      <c r="A59" s="40">
        <v>1</v>
      </c>
      <c r="B59" s="90">
        <v>9881</v>
      </c>
      <c r="C59" s="64" t="s">
        <v>160</v>
      </c>
      <c r="D59" s="40" t="s">
        <v>161</v>
      </c>
      <c r="E59" s="36" t="s">
        <v>76</v>
      </c>
      <c r="F59" s="44">
        <f>F56</f>
        <v>24.28</v>
      </c>
      <c r="G59" s="66">
        <f>ROUND(I59*0.6,2)</f>
        <v>6.38</v>
      </c>
      <c r="H59" s="66">
        <f>ROUND(I59*0.4,2)</f>
        <v>4.25</v>
      </c>
      <c r="I59" s="37">
        <v>10.63</v>
      </c>
      <c r="J59" s="68">
        <f>ROUND((G59*L$7)+G59,2)</f>
        <v>7.98</v>
      </c>
      <c r="K59" s="68">
        <f>ROUND((H59*L$7)+H59,2)</f>
        <v>5.31</v>
      </c>
      <c r="L59" s="67">
        <f>J59+K59</f>
        <v>13.29</v>
      </c>
      <c r="M59" s="66">
        <f>L59*F59</f>
        <v>322.6812</v>
      </c>
      <c r="N59" s="69">
        <f>M59/$L$65</f>
        <v>0.020726812284159228</v>
      </c>
    </row>
    <row r="60" spans="1:14" s="39" customFormat="1" ht="15.75" customHeight="1">
      <c r="A60" s="40">
        <v>1</v>
      </c>
      <c r="B60" s="90">
        <v>9880</v>
      </c>
      <c r="C60" s="64" t="s">
        <v>162</v>
      </c>
      <c r="D60" s="40" t="s">
        <v>163</v>
      </c>
      <c r="E60" s="36" t="s">
        <v>76</v>
      </c>
      <c r="F60" s="44">
        <f>F57</f>
        <v>78.03</v>
      </c>
      <c r="G60" s="66">
        <f>ROUND(I60*0.6,2)</f>
        <v>7.99</v>
      </c>
      <c r="H60" s="66">
        <f>ROUND(I60*0.4,2)</f>
        <v>5.32</v>
      </c>
      <c r="I60" s="37">
        <v>13.31</v>
      </c>
      <c r="J60" s="68">
        <f>ROUND((G60*L$7)+G60,2)</f>
        <v>9.99</v>
      </c>
      <c r="K60" s="68">
        <f>ROUND((H60*L$7)+H60,2)</f>
        <v>6.65</v>
      </c>
      <c r="L60" s="67">
        <f>J60+K60</f>
        <v>16.64</v>
      </c>
      <c r="M60" s="66">
        <f>L60*F60</f>
        <v>1298.4192</v>
      </c>
      <c r="N60" s="69">
        <f>M60/$L$65</f>
        <v>0.08340148426542421</v>
      </c>
    </row>
    <row r="61" spans="1:14" s="39" customFormat="1" ht="15.75" customHeight="1">
      <c r="A61" s="40">
        <v>1</v>
      </c>
      <c r="B61" s="90" t="s">
        <v>164</v>
      </c>
      <c r="C61" s="64" t="s">
        <v>165</v>
      </c>
      <c r="D61" s="40" t="s">
        <v>166</v>
      </c>
      <c r="E61" s="36" t="s">
        <v>81</v>
      </c>
      <c r="F61" s="44">
        <f>F54-((F59*PI()*(0.075^2))+(F57*PI()*(0.1^2)))</f>
        <v>40.08955223573986</v>
      </c>
      <c r="G61" s="66">
        <f>ROUND(I61*0.6,2)</f>
        <v>41.41</v>
      </c>
      <c r="H61" s="66">
        <f>ROUND(I61*0.4,2)</f>
        <v>27.61</v>
      </c>
      <c r="I61" s="37">
        <v>69.02</v>
      </c>
      <c r="J61" s="68">
        <f>ROUND((G61*L$7)+G61,2)</f>
        <v>51.76</v>
      </c>
      <c r="K61" s="68">
        <f>ROUND((H61*L$7)+H61,2)</f>
        <v>34.51</v>
      </c>
      <c r="L61" s="67">
        <f>J61+K61</f>
        <v>86.27</v>
      </c>
      <c r="M61" s="66">
        <f>L61*F61</f>
        <v>3458.5256713772774</v>
      </c>
      <c r="N61" s="69">
        <f>M61/$L$65</f>
        <v>0.22215180918684632</v>
      </c>
    </row>
    <row r="62" spans="1:14" s="39" customFormat="1" ht="15.75" customHeight="1">
      <c r="A62" s="40">
        <v>1</v>
      </c>
      <c r="B62" s="36">
        <v>72286</v>
      </c>
      <c r="C62" s="64" t="s">
        <v>167</v>
      </c>
      <c r="D62" s="40" t="s">
        <v>168</v>
      </c>
      <c r="E62" s="36" t="s">
        <v>21</v>
      </c>
      <c r="F62" s="44">
        <v>9</v>
      </c>
      <c r="G62" s="66">
        <f>ROUND(I62*0.6,2)</f>
        <v>73.24</v>
      </c>
      <c r="H62" s="66">
        <f>ROUND(I62*0.4,2)</f>
        <v>48.83</v>
      </c>
      <c r="I62" s="67">
        <v>122.07</v>
      </c>
      <c r="J62" s="68">
        <f>ROUND((G62*L$7)+G62,2)</f>
        <v>91.55</v>
      </c>
      <c r="K62" s="68">
        <f>ROUND((H62*L$7)+H62,2)</f>
        <v>61.04</v>
      </c>
      <c r="L62" s="67">
        <f>J62+K62</f>
        <v>152.59</v>
      </c>
      <c r="M62" s="66">
        <f>L62*F62</f>
        <v>1373.31</v>
      </c>
      <c r="N62" s="69">
        <f>M62/$L$65</f>
        <v>0.08821195216194408</v>
      </c>
    </row>
    <row r="63" spans="1:14" s="39" customFormat="1" ht="15.75" customHeight="1">
      <c r="A63" s="40">
        <v>1</v>
      </c>
      <c r="B63" s="36" t="s">
        <v>169</v>
      </c>
      <c r="C63" s="64" t="s">
        <v>170</v>
      </c>
      <c r="D63" s="40" t="s">
        <v>171</v>
      </c>
      <c r="E63" s="36" t="s">
        <v>21</v>
      </c>
      <c r="F63" s="44">
        <v>5</v>
      </c>
      <c r="G63" s="66">
        <f>ROUND(I63*0.6,2)</f>
        <v>36.62</v>
      </c>
      <c r="H63" s="66">
        <f>ROUND(I63*0.4,2)</f>
        <v>24.41</v>
      </c>
      <c r="I63" s="67">
        <f>122.07*0.5</f>
        <v>61.035</v>
      </c>
      <c r="J63" s="68">
        <f>ROUND((G63*L$7)+G63,2)</f>
        <v>45.78</v>
      </c>
      <c r="K63" s="68">
        <f>ROUND((H63*L$7)+H63,2)</f>
        <v>30.51</v>
      </c>
      <c r="L63" s="67">
        <f>J63+K63</f>
        <v>76.29</v>
      </c>
      <c r="M63" s="66">
        <f>L63*F63</f>
        <v>381.45000000000005</v>
      </c>
      <c r="N63" s="69">
        <f>M63/$L$65</f>
        <v>0.02450171421760096</v>
      </c>
    </row>
    <row r="64" spans="1:14" s="25" customFormat="1" ht="17.25" customHeight="1">
      <c r="A64" s="161" t="s">
        <v>172</v>
      </c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</row>
    <row r="65" spans="1:16" s="25" customFormat="1" ht="15.75" customHeight="1">
      <c r="A65" s="53"/>
      <c r="B65" s="54"/>
      <c r="C65" s="55"/>
      <c r="D65" s="159" t="s">
        <v>71</v>
      </c>
      <c r="E65" s="159"/>
      <c r="F65" s="159"/>
      <c r="G65" s="159"/>
      <c r="H65" s="159"/>
      <c r="I65" s="159"/>
      <c r="J65" s="159"/>
      <c r="K65" s="159"/>
      <c r="L65" s="160">
        <f>SUM(M52:M63)</f>
        <v>15568.298471377282</v>
      </c>
      <c r="M65" s="160"/>
      <c r="N65" s="57" t="e">
        <f>L65/L$113</f>
        <v>#REF!</v>
      </c>
      <c r="O65" s="58"/>
      <c r="P65" s="59">
        <f>SUM(N53:N63)</f>
        <v>0.7913693005069512</v>
      </c>
    </row>
    <row r="66" spans="1:14" s="39" customFormat="1" ht="17.25" customHeight="1">
      <c r="A66" s="32"/>
      <c r="B66" s="33"/>
      <c r="C66" s="34" t="s">
        <v>173</v>
      </c>
      <c r="D66" s="35" t="s">
        <v>174</v>
      </c>
      <c r="E66" s="36"/>
      <c r="F66" s="44"/>
      <c r="G66" s="32"/>
      <c r="H66" s="32"/>
      <c r="I66" s="85"/>
      <c r="J66" s="32"/>
      <c r="K66" s="32"/>
      <c r="L66" s="85"/>
      <c r="M66" s="32"/>
      <c r="N66" s="32"/>
    </row>
    <row r="67" spans="1:16" s="39" customFormat="1" ht="27.75" customHeight="1">
      <c r="A67" s="91">
        <v>1</v>
      </c>
      <c r="B67" s="92">
        <v>83420</v>
      </c>
      <c r="C67" s="64" t="s">
        <v>14</v>
      </c>
      <c r="D67" s="93" t="s">
        <v>175</v>
      </c>
      <c r="E67" s="94" t="s">
        <v>76</v>
      </c>
      <c r="F67" s="95">
        <v>623.08</v>
      </c>
      <c r="G67" s="96">
        <f>ROUND(I67*0.6,2)</f>
        <v>4.21</v>
      </c>
      <c r="H67" s="96">
        <f>ROUND(I67*0.4,2)</f>
        <v>2.8</v>
      </c>
      <c r="I67" s="97">
        <v>7.01</v>
      </c>
      <c r="J67" s="98">
        <f aca="true" t="shared" si="26" ref="J67:K69">ROUND((G67*$N$7)+G67,2)</f>
        <v>4.21</v>
      </c>
      <c r="K67" s="98">
        <f t="shared" si="26"/>
        <v>2.8</v>
      </c>
      <c r="L67" s="97">
        <f>J67+K67</f>
        <v>7.01</v>
      </c>
      <c r="M67" s="96">
        <f>L67*F67</f>
        <v>4367.7908</v>
      </c>
      <c r="N67" s="69">
        <f>M67/$L$87</f>
        <v>0.2452230749796479</v>
      </c>
      <c r="P67" s="99"/>
    </row>
    <row r="68" spans="1:16" s="39" customFormat="1" ht="15.75" customHeight="1">
      <c r="A68" s="91">
        <v>1</v>
      </c>
      <c r="B68" s="92" t="s">
        <v>176</v>
      </c>
      <c r="C68" s="64" t="s">
        <v>15</v>
      </c>
      <c r="D68" s="93" t="s">
        <v>177</v>
      </c>
      <c r="E68" s="94" t="s">
        <v>76</v>
      </c>
      <c r="F68" s="95">
        <v>450.45</v>
      </c>
      <c r="G68" s="96">
        <f>ROUND(I68*0.6,2)</f>
        <v>2.16</v>
      </c>
      <c r="H68" s="96">
        <f>ROUND(I68*0.4,2)</f>
        <v>1.44</v>
      </c>
      <c r="I68" s="97">
        <v>3.6</v>
      </c>
      <c r="J68" s="98">
        <f t="shared" si="26"/>
        <v>2.16</v>
      </c>
      <c r="K68" s="98">
        <f t="shared" si="26"/>
        <v>1.44</v>
      </c>
      <c r="L68" s="97">
        <f>J68+K68</f>
        <v>3.6</v>
      </c>
      <c r="M68" s="96">
        <f>L68*F68</f>
        <v>1621.62</v>
      </c>
      <c r="N68" s="69">
        <f>M68/$L$87</f>
        <v>0.09104342699941047</v>
      </c>
      <c r="P68" s="100" t="e">
        <f>SUM("#REF!#REF!:#REF!#REF!")</f>
        <v>#VALUE!</v>
      </c>
    </row>
    <row r="69" spans="1:16" s="39" customFormat="1" ht="26.25" customHeight="1">
      <c r="A69" s="91">
        <v>1</v>
      </c>
      <c r="B69" s="92" t="s">
        <v>178</v>
      </c>
      <c r="C69" s="64" t="s">
        <v>16</v>
      </c>
      <c r="D69" s="101" t="s">
        <v>179</v>
      </c>
      <c r="E69" s="94" t="s">
        <v>21</v>
      </c>
      <c r="F69" s="95">
        <v>1</v>
      </c>
      <c r="G69" s="96">
        <f>ROUND(I69*0.6,2)</f>
        <v>146.83</v>
      </c>
      <c r="H69" s="96">
        <f>ROUND(I69*0.4,2)</f>
        <v>97.89</v>
      </c>
      <c r="I69" s="97">
        <v>244.72</v>
      </c>
      <c r="J69" s="98">
        <f t="shared" si="26"/>
        <v>146.83</v>
      </c>
      <c r="K69" s="98">
        <f t="shared" si="26"/>
        <v>97.89</v>
      </c>
      <c r="L69" s="97">
        <f>J69+K69</f>
        <v>244.72000000000003</v>
      </c>
      <c r="M69" s="96">
        <f>L69*F69</f>
        <v>244.72000000000003</v>
      </c>
      <c r="N69" s="69">
        <f>M69/$L$87</f>
        <v>0.01373943800353704</v>
      </c>
      <c r="P69" s="100"/>
    </row>
    <row r="70" spans="1:16" s="39" customFormat="1" ht="15.75" customHeight="1">
      <c r="A70" s="91"/>
      <c r="B70" s="92"/>
      <c r="C70" s="64" t="s">
        <v>17</v>
      </c>
      <c r="D70" s="93" t="s">
        <v>180</v>
      </c>
      <c r="E70" s="94"/>
      <c r="F70" s="95"/>
      <c r="G70" s="96"/>
      <c r="H70" s="96"/>
      <c r="I70" s="97"/>
      <c r="J70" s="102"/>
      <c r="K70" s="102"/>
      <c r="L70" s="58"/>
      <c r="M70" s="102"/>
      <c r="N70" s="102"/>
      <c r="P70" s="100" t="e">
        <f>SUM("#REF!#REF!:#REF!#REF!")</f>
        <v>#VALUE!</v>
      </c>
    </row>
    <row r="71" spans="1:16" s="39" customFormat="1" ht="15.75" customHeight="1">
      <c r="A71" s="40">
        <v>1</v>
      </c>
      <c r="B71" s="92" t="s">
        <v>181</v>
      </c>
      <c r="C71" s="64" t="s">
        <v>182</v>
      </c>
      <c r="D71" s="93" t="s">
        <v>183</v>
      </c>
      <c r="E71" s="94" t="s">
        <v>21</v>
      </c>
      <c r="F71" s="95">
        <v>1</v>
      </c>
      <c r="G71" s="96">
        <f>ROUND(I71*0.6,2)</f>
        <v>40.53</v>
      </c>
      <c r="H71" s="96">
        <f>ROUND(I71*0.4,2)</f>
        <v>27.02</v>
      </c>
      <c r="I71" s="97">
        <v>67.55</v>
      </c>
      <c r="J71" s="98">
        <f aca="true" t="shared" si="27" ref="J71:K73">ROUND((G71*$N$7)+G71,2)</f>
        <v>40.53</v>
      </c>
      <c r="K71" s="98">
        <f t="shared" si="27"/>
        <v>27.02</v>
      </c>
      <c r="L71" s="97">
        <f>J71+K71</f>
        <v>67.55</v>
      </c>
      <c r="M71" s="96">
        <f>L71*F71</f>
        <v>67.55</v>
      </c>
      <c r="N71" s="69">
        <f>M71/$L$87</f>
        <v>0.0037924936136765563</v>
      </c>
      <c r="P71" s="103"/>
    </row>
    <row r="72" spans="1:16" s="39" customFormat="1" ht="15.75" customHeight="1">
      <c r="A72" s="40">
        <v>1</v>
      </c>
      <c r="B72" s="92" t="s">
        <v>184</v>
      </c>
      <c r="C72" s="64" t="s">
        <v>185</v>
      </c>
      <c r="D72" s="93" t="s">
        <v>186</v>
      </c>
      <c r="E72" s="94" t="s">
        <v>21</v>
      </c>
      <c r="F72" s="95">
        <v>6</v>
      </c>
      <c r="G72" s="96">
        <f>ROUND(I72*0.6,2)</f>
        <v>6.18</v>
      </c>
      <c r="H72" s="96">
        <f>ROUND(I72*0.4,2)</f>
        <v>4.12</v>
      </c>
      <c r="I72" s="97">
        <v>10.3</v>
      </c>
      <c r="J72" s="98">
        <f t="shared" si="27"/>
        <v>6.18</v>
      </c>
      <c r="K72" s="98">
        <f t="shared" si="27"/>
        <v>4.12</v>
      </c>
      <c r="L72" s="97">
        <f>J72+K72</f>
        <v>10.3</v>
      </c>
      <c r="M72" s="96">
        <f>L72*F72</f>
        <v>61.800000000000004</v>
      </c>
      <c r="N72" s="69">
        <f>M72/$L$87</f>
        <v>0.003469668472616006</v>
      </c>
      <c r="P72" s="103"/>
    </row>
    <row r="73" spans="1:16" s="39" customFormat="1" ht="15.75" customHeight="1">
      <c r="A73" s="91">
        <v>1</v>
      </c>
      <c r="B73" s="92">
        <v>68069</v>
      </c>
      <c r="C73" s="64" t="s">
        <v>18</v>
      </c>
      <c r="D73" s="93" t="s">
        <v>187</v>
      </c>
      <c r="E73" s="94" t="s">
        <v>21</v>
      </c>
      <c r="F73" s="95">
        <v>1</v>
      </c>
      <c r="G73" s="96">
        <f>ROUND(I73*0.6,2)</f>
        <v>23.47</v>
      </c>
      <c r="H73" s="96">
        <f>ROUND(I73*0.4,2)</f>
        <v>15.64</v>
      </c>
      <c r="I73" s="97">
        <v>39.11</v>
      </c>
      <c r="J73" s="98">
        <f t="shared" si="27"/>
        <v>23.47</v>
      </c>
      <c r="K73" s="98">
        <f t="shared" si="27"/>
        <v>15.64</v>
      </c>
      <c r="L73" s="97">
        <f>J73+K73</f>
        <v>39.11</v>
      </c>
      <c r="M73" s="96">
        <f>L73*F73</f>
        <v>39.11</v>
      </c>
      <c r="N73" s="69">
        <f>M73/$L$87</f>
        <v>0.002195772394239676</v>
      </c>
      <c r="P73" s="100">
        <f>N102</f>
        <v>0.8272568030076517</v>
      </c>
    </row>
    <row r="74" spans="1:16" s="39" customFormat="1" ht="15.75" customHeight="1">
      <c r="A74" s="91"/>
      <c r="B74" s="92"/>
      <c r="C74" s="64" t="s">
        <v>188</v>
      </c>
      <c r="D74" s="93" t="s">
        <v>189</v>
      </c>
      <c r="E74" s="94"/>
      <c r="F74" s="95"/>
      <c r="G74" s="96"/>
      <c r="H74" s="96"/>
      <c r="I74" s="97"/>
      <c r="J74" s="102"/>
      <c r="K74" s="102"/>
      <c r="L74" s="58"/>
      <c r="M74" s="102"/>
      <c r="N74" s="102"/>
      <c r="P74" s="100" t="e">
        <f>SUM("#REF!#REF!:#REF!#REF!")</f>
        <v>#VALUE!</v>
      </c>
    </row>
    <row r="75" spans="1:16" s="39" customFormat="1" ht="15.75" customHeight="1">
      <c r="A75" s="91">
        <v>1</v>
      </c>
      <c r="B75" s="92" t="s">
        <v>190</v>
      </c>
      <c r="C75" s="64" t="s">
        <v>191</v>
      </c>
      <c r="D75" s="93" t="s">
        <v>192</v>
      </c>
      <c r="E75" s="94" t="s">
        <v>76</v>
      </c>
      <c r="F75" s="95">
        <v>87.15</v>
      </c>
      <c r="G75" s="96">
        <f>ROUND(I75*0.6,2)</f>
        <v>6.34</v>
      </c>
      <c r="H75" s="96">
        <f>ROUND(I75*0.4,2)</f>
        <v>4.22</v>
      </c>
      <c r="I75" s="97">
        <v>10.56</v>
      </c>
      <c r="J75" s="98">
        <f>ROUND((G75*$N$7)+G75,2)</f>
        <v>6.34</v>
      </c>
      <c r="K75" s="98">
        <f>ROUND((H75*$N$7)+H75,2)</f>
        <v>4.22</v>
      </c>
      <c r="L75" s="97">
        <f>J75+K75</f>
        <v>10.559999999999999</v>
      </c>
      <c r="M75" s="96">
        <f>L75*F75</f>
        <v>920.304</v>
      </c>
      <c r="N75" s="69">
        <f>M75/$L$87</f>
        <v>0.05166909019453723</v>
      </c>
      <c r="P75" s="103"/>
    </row>
    <row r="76" spans="1:16" s="39" customFormat="1" ht="27.75" customHeight="1">
      <c r="A76" s="40">
        <v>1</v>
      </c>
      <c r="B76" s="92">
        <v>55866</v>
      </c>
      <c r="C76" s="64" t="s">
        <v>193</v>
      </c>
      <c r="D76" s="93" t="s">
        <v>194</v>
      </c>
      <c r="E76" s="94" t="s">
        <v>76</v>
      </c>
      <c r="F76" s="95">
        <v>98.78</v>
      </c>
      <c r="G76" s="96">
        <f>ROUND(I76*0.6,2)</f>
        <v>11</v>
      </c>
      <c r="H76" s="96">
        <f>ROUND(I76*0.4,2)</f>
        <v>7.34</v>
      </c>
      <c r="I76" s="97">
        <v>18.34</v>
      </c>
      <c r="J76" s="98">
        <f>ROUND((G76*$N$7)+G76,2)</f>
        <v>11</v>
      </c>
      <c r="K76" s="98">
        <f>ROUND((H76*$N$7)+H76,2)</f>
        <v>7.34</v>
      </c>
      <c r="L76" s="97">
        <f>J76+K76</f>
        <v>18.34</v>
      </c>
      <c r="M76" s="96">
        <f>L76*F76</f>
        <v>1811.6252</v>
      </c>
      <c r="N76" s="69">
        <f>M76/$L$87</f>
        <v>0.10171098447632146</v>
      </c>
      <c r="P76" s="104"/>
    </row>
    <row r="77" spans="1:16" s="39" customFormat="1" ht="15.75" customHeight="1">
      <c r="A77" s="91"/>
      <c r="B77" s="92"/>
      <c r="C77" s="64" t="s">
        <v>195</v>
      </c>
      <c r="D77" s="93" t="s">
        <v>189</v>
      </c>
      <c r="E77" s="94"/>
      <c r="F77" s="95"/>
      <c r="G77" s="96"/>
      <c r="H77" s="96"/>
      <c r="I77" s="97"/>
      <c r="J77" s="98"/>
      <c r="K77" s="98"/>
      <c r="L77" s="97"/>
      <c r="M77" s="96"/>
      <c r="N77" s="102"/>
      <c r="P77" s="105" t="e">
        <f>SUM("#REF!#REF!:#REF!#REF!")</f>
        <v>#VALUE!</v>
      </c>
    </row>
    <row r="78" spans="1:14" s="39" customFormat="1" ht="15.75" customHeight="1">
      <c r="A78" s="91">
        <v>4</v>
      </c>
      <c r="B78" s="92" t="s">
        <v>196</v>
      </c>
      <c r="C78" s="64" t="s">
        <v>197</v>
      </c>
      <c r="D78" s="93" t="s">
        <v>198</v>
      </c>
      <c r="E78" s="94" t="s">
        <v>21</v>
      </c>
      <c r="F78" s="95">
        <v>5</v>
      </c>
      <c r="G78" s="96">
        <f>ROUND(I78*0.6,2)</f>
        <v>17.21</v>
      </c>
      <c r="H78" s="96">
        <f>ROUND(I78*0.4,2)</f>
        <v>11.48</v>
      </c>
      <c r="I78" s="97">
        <v>28.69</v>
      </c>
      <c r="J78" s="98">
        <f aca="true" t="shared" si="28" ref="J78:K82">ROUND((G78*$N$7)+G78,2)</f>
        <v>17.21</v>
      </c>
      <c r="K78" s="98">
        <f t="shared" si="28"/>
        <v>11.48</v>
      </c>
      <c r="L78" s="97">
        <f>J78+K78</f>
        <v>28.69</v>
      </c>
      <c r="M78" s="96">
        <f>L78*F78</f>
        <v>143.45000000000002</v>
      </c>
      <c r="N78" s="69">
        <f>M78/$L$87</f>
        <v>0.008053785475675826</v>
      </c>
    </row>
    <row r="79" spans="1:14" s="39" customFormat="1" ht="15.75" customHeight="1">
      <c r="A79" s="91">
        <v>4</v>
      </c>
      <c r="B79" s="92" t="s">
        <v>199</v>
      </c>
      <c r="C79" s="64" t="s">
        <v>200</v>
      </c>
      <c r="D79" s="93" t="s">
        <v>201</v>
      </c>
      <c r="E79" s="94" t="s">
        <v>21</v>
      </c>
      <c r="F79" s="95">
        <v>2</v>
      </c>
      <c r="G79" s="96">
        <f>ROUND(I79*0.6,2)</f>
        <v>13.93</v>
      </c>
      <c r="H79" s="96">
        <f>ROUND(I79*0.4,2)</f>
        <v>9.29</v>
      </c>
      <c r="I79" s="97">
        <v>23.22</v>
      </c>
      <c r="J79" s="98">
        <f t="shared" si="28"/>
        <v>13.93</v>
      </c>
      <c r="K79" s="98">
        <f t="shared" si="28"/>
        <v>9.29</v>
      </c>
      <c r="L79" s="97">
        <f>J79+K79</f>
        <v>23.22</v>
      </c>
      <c r="M79" s="96">
        <f>L79*F79</f>
        <v>46.44</v>
      </c>
      <c r="N79" s="69">
        <f>M79/$L$87</f>
        <v>0.0026073042697133866</v>
      </c>
    </row>
    <row r="80" spans="1:14" s="39" customFormat="1" ht="15.75" customHeight="1">
      <c r="A80" s="91">
        <v>4</v>
      </c>
      <c r="B80" s="92" t="s">
        <v>202</v>
      </c>
      <c r="C80" s="64" t="s">
        <v>203</v>
      </c>
      <c r="D80" s="93" t="s">
        <v>204</v>
      </c>
      <c r="E80" s="94" t="s">
        <v>21</v>
      </c>
      <c r="F80" s="95">
        <v>2</v>
      </c>
      <c r="G80" s="96">
        <f>ROUND(I80*0.6,2)</f>
        <v>2.01</v>
      </c>
      <c r="H80" s="96">
        <f>ROUND(I80*0.4,2)</f>
        <v>1.34</v>
      </c>
      <c r="I80" s="97">
        <v>3.35</v>
      </c>
      <c r="J80" s="98">
        <f t="shared" si="28"/>
        <v>2.01</v>
      </c>
      <c r="K80" s="98">
        <f t="shared" si="28"/>
        <v>1.34</v>
      </c>
      <c r="L80" s="97">
        <f>J80+K80</f>
        <v>3.3499999999999996</v>
      </c>
      <c r="M80" s="96">
        <f>L80*F80</f>
        <v>6.699999999999999</v>
      </c>
      <c r="N80" s="69">
        <f>M80/$L$87</f>
        <v>0.00037616146871403294</v>
      </c>
    </row>
    <row r="81" spans="1:14" s="39" customFormat="1" ht="15.75" customHeight="1">
      <c r="A81" s="91">
        <v>4</v>
      </c>
      <c r="B81" s="92" t="s">
        <v>205</v>
      </c>
      <c r="C81" s="64" t="s">
        <v>206</v>
      </c>
      <c r="D81" s="93" t="s">
        <v>207</v>
      </c>
      <c r="E81" s="94" t="s">
        <v>21</v>
      </c>
      <c r="F81" s="95">
        <v>1</v>
      </c>
      <c r="G81" s="96">
        <f>ROUND(I81*0.6,2)</f>
        <v>2.51</v>
      </c>
      <c r="H81" s="96">
        <f>ROUND(I81*0.4,2)</f>
        <v>1.68</v>
      </c>
      <c r="I81" s="97">
        <v>4.19</v>
      </c>
      <c r="J81" s="98">
        <f t="shared" si="28"/>
        <v>2.51</v>
      </c>
      <c r="K81" s="98">
        <f t="shared" si="28"/>
        <v>1.68</v>
      </c>
      <c r="L81" s="97">
        <f>J81+K81</f>
        <v>4.1899999999999995</v>
      </c>
      <c r="M81" s="96">
        <f>L81*F81</f>
        <v>4.1899999999999995</v>
      </c>
      <c r="N81" s="69">
        <f>M81/$L$87</f>
        <v>0.00023524127670325343</v>
      </c>
    </row>
    <row r="82" spans="1:16" s="39" customFormat="1" ht="15.75" customHeight="1">
      <c r="A82" s="91">
        <v>1</v>
      </c>
      <c r="B82" s="92">
        <v>83448</v>
      </c>
      <c r="C82" s="64" t="s">
        <v>208</v>
      </c>
      <c r="D82" s="93" t="s">
        <v>209</v>
      </c>
      <c r="E82" s="94" t="s">
        <v>21</v>
      </c>
      <c r="F82" s="95">
        <v>5</v>
      </c>
      <c r="G82" s="96">
        <f>ROUND(I82*0.6,2)</f>
        <v>113.4</v>
      </c>
      <c r="H82" s="96">
        <f>ROUND(I82*0.4,2)</f>
        <v>75.6</v>
      </c>
      <c r="I82" s="97">
        <v>189</v>
      </c>
      <c r="J82" s="98">
        <f t="shared" si="28"/>
        <v>113.4</v>
      </c>
      <c r="K82" s="98">
        <f t="shared" si="28"/>
        <v>75.6</v>
      </c>
      <c r="L82" s="97">
        <f>J82+K82</f>
        <v>189</v>
      </c>
      <c r="M82" s="96">
        <f>L82*F82</f>
        <v>945</v>
      </c>
      <c r="N82" s="69">
        <f>M82/$L$87</f>
        <v>0.053055610139516596</v>
      </c>
      <c r="P82" s="82"/>
    </row>
    <row r="83" spans="1:16" s="39" customFormat="1" ht="15.75" customHeight="1">
      <c r="A83" s="91"/>
      <c r="B83" s="92"/>
      <c r="C83" s="64" t="s">
        <v>210</v>
      </c>
      <c r="D83" s="93" t="s">
        <v>211</v>
      </c>
      <c r="E83" s="94"/>
      <c r="F83" s="95"/>
      <c r="G83" s="96"/>
      <c r="H83" s="96"/>
      <c r="I83" s="97"/>
      <c r="J83" s="98"/>
      <c r="K83" s="98"/>
      <c r="L83" s="97"/>
      <c r="M83" s="96"/>
      <c r="N83" s="69"/>
      <c r="P83" s="82"/>
    </row>
    <row r="84" spans="1:14" s="39" customFormat="1" ht="15.75" customHeight="1">
      <c r="A84" s="40">
        <v>1</v>
      </c>
      <c r="B84" s="92" t="s">
        <v>212</v>
      </c>
      <c r="C84" s="64" t="s">
        <v>213</v>
      </c>
      <c r="D84" s="93" t="s">
        <v>214</v>
      </c>
      <c r="E84" s="94" t="s">
        <v>21</v>
      </c>
      <c r="F84" s="95">
        <v>20</v>
      </c>
      <c r="G84" s="96">
        <f>ROUND(I84*0.6,2)</f>
        <v>101.49</v>
      </c>
      <c r="H84" s="96">
        <f>ROUND(I84*0.4,2)</f>
        <v>67.66</v>
      </c>
      <c r="I84" s="67">
        <v>169.15</v>
      </c>
      <c r="J84" s="98">
        <f aca="true" t="shared" si="29" ref="J84:K86">ROUND((G84*$N$7)+G84,2)</f>
        <v>101.49</v>
      </c>
      <c r="K84" s="98">
        <f t="shared" si="29"/>
        <v>67.66</v>
      </c>
      <c r="L84" s="97">
        <f>J84+K84</f>
        <v>169.14999999999998</v>
      </c>
      <c r="M84" s="96">
        <f>L84*F84</f>
        <v>3382.9999999999995</v>
      </c>
      <c r="N84" s="69">
        <f>M84/$L$87</f>
        <v>0.18993346994919005</v>
      </c>
    </row>
    <row r="85" spans="1:14" s="39" customFormat="1" ht="15.75" customHeight="1">
      <c r="A85" s="91">
        <v>1</v>
      </c>
      <c r="B85" s="92">
        <v>72282</v>
      </c>
      <c r="C85" s="64" t="s">
        <v>215</v>
      </c>
      <c r="D85" s="93" t="s">
        <v>216</v>
      </c>
      <c r="E85" s="94" t="s">
        <v>21</v>
      </c>
      <c r="F85" s="95">
        <v>20</v>
      </c>
      <c r="G85" s="96">
        <f>ROUND(I85*0.6,2)</f>
        <v>59.23</v>
      </c>
      <c r="H85" s="96">
        <f>ROUND(I85*0.4,2)</f>
        <v>39.48</v>
      </c>
      <c r="I85" s="97">
        <v>98.71</v>
      </c>
      <c r="J85" s="98">
        <f t="shared" si="29"/>
        <v>59.23</v>
      </c>
      <c r="K85" s="98">
        <f t="shared" si="29"/>
        <v>39.48</v>
      </c>
      <c r="L85" s="97">
        <f>J85+K85</f>
        <v>98.71</v>
      </c>
      <c r="M85" s="96">
        <f>L85*F85</f>
        <v>1974.1999999999998</v>
      </c>
      <c r="N85" s="69">
        <f>M85/$L$87</f>
        <v>0.1108385032142155</v>
      </c>
    </row>
    <row r="86" spans="1:14" s="39" customFormat="1" ht="15.75" customHeight="1">
      <c r="A86" s="91">
        <v>1</v>
      </c>
      <c r="B86" s="92">
        <v>72278</v>
      </c>
      <c r="C86" s="64" t="s">
        <v>217</v>
      </c>
      <c r="D86" s="93" t="s">
        <v>218</v>
      </c>
      <c r="E86" s="94" t="s">
        <v>21</v>
      </c>
      <c r="F86" s="95">
        <v>20</v>
      </c>
      <c r="G86" s="96">
        <f>ROUND(I86*0.6,2)</f>
        <v>65.22</v>
      </c>
      <c r="H86" s="96">
        <f>ROUND(I86*0.4,2)</f>
        <v>43.48</v>
      </c>
      <c r="I86" s="97">
        <v>108.7</v>
      </c>
      <c r="J86" s="98">
        <f t="shared" si="29"/>
        <v>65.22</v>
      </c>
      <c r="K86" s="98">
        <f t="shared" si="29"/>
        <v>43.48</v>
      </c>
      <c r="L86" s="97">
        <f>J86+K86</f>
        <v>108.69999999999999</v>
      </c>
      <c r="M86" s="96">
        <f>L86*F86</f>
        <v>2174</v>
      </c>
      <c r="N86" s="69">
        <f>M86/$L$87</f>
        <v>0.12205597507228473</v>
      </c>
    </row>
    <row r="87" spans="1:14" s="25" customFormat="1" ht="15.75" customHeight="1">
      <c r="A87" s="53"/>
      <c r="B87" s="54"/>
      <c r="C87" s="55"/>
      <c r="D87" s="159" t="s">
        <v>71</v>
      </c>
      <c r="E87" s="159"/>
      <c r="F87" s="159"/>
      <c r="G87" s="159"/>
      <c r="H87" s="159"/>
      <c r="I87" s="159"/>
      <c r="J87" s="159"/>
      <c r="K87" s="159"/>
      <c r="L87" s="160">
        <f>SUM(M67:M87)</f>
        <v>17811.500000000004</v>
      </c>
      <c r="M87" s="160"/>
      <c r="N87" s="57" t="e">
        <f>L87/L$113</f>
        <v>#REF!</v>
      </c>
    </row>
    <row r="88" spans="1:14" s="25" customFormat="1" ht="15.75" customHeight="1">
      <c r="A88" s="32"/>
      <c r="B88" s="33"/>
      <c r="C88" s="34" t="s">
        <v>219</v>
      </c>
      <c r="D88" s="35" t="s">
        <v>220</v>
      </c>
      <c r="E88" s="36"/>
      <c r="F88" s="44"/>
      <c r="G88" s="32"/>
      <c r="H88" s="32"/>
      <c r="I88" s="85"/>
      <c r="J88" s="32"/>
      <c r="K88" s="32"/>
      <c r="L88" s="85"/>
      <c r="M88" s="32"/>
      <c r="N88" s="32"/>
    </row>
    <row r="89" spans="1:14" s="39" customFormat="1" ht="15.75" customHeight="1">
      <c r="A89" s="32">
        <v>1</v>
      </c>
      <c r="B89" s="36">
        <v>83446</v>
      </c>
      <c r="C89" s="64" t="s">
        <v>221</v>
      </c>
      <c r="D89" s="40" t="s">
        <v>222</v>
      </c>
      <c r="E89" s="36" t="s">
        <v>21</v>
      </c>
      <c r="F89" s="44">
        <v>8</v>
      </c>
      <c r="G89" s="66">
        <f aca="true" t="shared" si="30" ref="G89:G99">ROUND(I89*0.6,2)</f>
        <v>68.84</v>
      </c>
      <c r="H89" s="45">
        <f aca="true" t="shared" si="31" ref="H89:H99">ROUND(I89*0.4,2)</f>
        <v>45.9</v>
      </c>
      <c r="I89" s="67">
        <v>114.74</v>
      </c>
      <c r="J89" s="68">
        <f>ROUND((G89*L$7)+G89,2)</f>
        <v>86.05</v>
      </c>
      <c r="K89" s="68">
        <f>ROUND((H89*L$7)+H89,2)</f>
        <v>57.38</v>
      </c>
      <c r="L89" s="67">
        <f aca="true" t="shared" si="32" ref="L89:L99">J89+K89</f>
        <v>143.43</v>
      </c>
      <c r="M89" s="66">
        <f aca="true" t="shared" si="33" ref="M89:M99">L89*F89</f>
        <v>1147.44</v>
      </c>
      <c r="N89" s="69">
        <f aca="true" t="shared" si="34" ref="N89:N99">M89/$L$100</f>
        <v>0.08392686197913618</v>
      </c>
    </row>
    <row r="90" spans="1:14" s="39" customFormat="1" ht="15.75" customHeight="1">
      <c r="A90" s="32">
        <v>1</v>
      </c>
      <c r="B90" s="36">
        <v>21070</v>
      </c>
      <c r="C90" s="64" t="s">
        <v>223</v>
      </c>
      <c r="D90" s="40" t="s">
        <v>224</v>
      </c>
      <c r="E90" s="36" t="s">
        <v>21</v>
      </c>
      <c r="F90" s="44">
        <v>8</v>
      </c>
      <c r="G90" s="66">
        <f t="shared" si="30"/>
        <v>76.04</v>
      </c>
      <c r="H90" s="45">
        <f t="shared" si="31"/>
        <v>50.7</v>
      </c>
      <c r="I90" s="67">
        <v>126.74</v>
      </c>
      <c r="J90" s="68">
        <f>ROUND((G90*L$7)+G90,2)</f>
        <v>95.05</v>
      </c>
      <c r="K90" s="68">
        <f>ROUND((H90*L$7)+H90,2)</f>
        <v>63.38</v>
      </c>
      <c r="L90" s="67">
        <f t="shared" si="32"/>
        <v>158.43</v>
      </c>
      <c r="M90" s="66">
        <f t="shared" si="33"/>
        <v>1267.44</v>
      </c>
      <c r="N90" s="69">
        <f t="shared" si="34"/>
        <v>0.09270398621874465</v>
      </c>
    </row>
    <row r="91" spans="1:14" s="39" customFormat="1" ht="15.75" customHeight="1">
      <c r="A91" s="32">
        <v>1</v>
      </c>
      <c r="B91" s="106">
        <v>68069</v>
      </c>
      <c r="C91" s="64" t="s">
        <v>225</v>
      </c>
      <c r="D91" s="40" t="s">
        <v>226</v>
      </c>
      <c r="E91" s="36" t="s">
        <v>21</v>
      </c>
      <c r="F91" s="44">
        <v>8</v>
      </c>
      <c r="G91" s="66">
        <f t="shared" si="30"/>
        <v>23.47</v>
      </c>
      <c r="H91" s="45">
        <f t="shared" si="31"/>
        <v>15.64</v>
      </c>
      <c r="I91" s="67">
        <v>39.11</v>
      </c>
      <c r="J91" s="68">
        <f>ROUND((G91*L$7)+G91,2)</f>
        <v>29.34</v>
      </c>
      <c r="K91" s="68">
        <f>ROUND((H91*L$7)+H91,2)</f>
        <v>19.55</v>
      </c>
      <c r="L91" s="67">
        <f t="shared" si="32"/>
        <v>48.89</v>
      </c>
      <c r="M91" s="66">
        <f t="shared" si="33"/>
        <v>391.12</v>
      </c>
      <c r="N91" s="69">
        <f t="shared" si="34"/>
        <v>0.028607573604963868</v>
      </c>
    </row>
    <row r="92" spans="1:14" s="39" customFormat="1" ht="15.75" customHeight="1">
      <c r="A92" s="91">
        <v>1</v>
      </c>
      <c r="B92" s="92" t="s">
        <v>190</v>
      </c>
      <c r="C92" s="64" t="s">
        <v>227</v>
      </c>
      <c r="D92" s="93" t="s">
        <v>192</v>
      </c>
      <c r="E92" s="94" t="s">
        <v>76</v>
      </c>
      <c r="F92" s="95">
        <f>ROUND(2*(31.7+24.1)+8*2.8,2)</f>
        <v>134</v>
      </c>
      <c r="G92" s="96">
        <f t="shared" si="30"/>
        <v>6.34</v>
      </c>
      <c r="H92" s="107">
        <f t="shared" si="31"/>
        <v>4.22</v>
      </c>
      <c r="I92" s="97">
        <v>10.56</v>
      </c>
      <c r="J92" s="98">
        <f aca="true" t="shared" si="35" ref="J92:K99">ROUND((G92*$N$7)+G92,2)</f>
        <v>6.34</v>
      </c>
      <c r="K92" s="98">
        <f t="shared" si="35"/>
        <v>4.22</v>
      </c>
      <c r="L92" s="97">
        <f t="shared" si="32"/>
        <v>10.559999999999999</v>
      </c>
      <c r="M92" s="96">
        <f t="shared" si="33"/>
        <v>1415.0399999999997</v>
      </c>
      <c r="N92" s="69">
        <f t="shared" si="34"/>
        <v>0.10349984903346304</v>
      </c>
    </row>
    <row r="93" spans="1:14" s="39" customFormat="1" ht="15.75" customHeight="1">
      <c r="A93" s="91">
        <v>1</v>
      </c>
      <c r="B93" s="92">
        <v>72930</v>
      </c>
      <c r="C93" s="64" t="s">
        <v>228</v>
      </c>
      <c r="D93" s="93" t="s">
        <v>229</v>
      </c>
      <c r="E93" s="94" t="s">
        <v>76</v>
      </c>
      <c r="F93" s="95">
        <f>ROUND(2*(31.7+24.1),2)</f>
        <v>111.6</v>
      </c>
      <c r="G93" s="96">
        <f t="shared" si="30"/>
        <v>24.65</v>
      </c>
      <c r="H93" s="107">
        <f t="shared" si="31"/>
        <v>16.44</v>
      </c>
      <c r="I93" s="97">
        <v>41.09</v>
      </c>
      <c r="J93" s="98">
        <f t="shared" si="35"/>
        <v>24.65</v>
      </c>
      <c r="K93" s="98">
        <f t="shared" si="35"/>
        <v>16.44</v>
      </c>
      <c r="L93" s="97">
        <f t="shared" si="32"/>
        <v>41.09</v>
      </c>
      <c r="M93" s="96">
        <f t="shared" si="33"/>
        <v>4585.644</v>
      </c>
      <c r="N93" s="69">
        <f t="shared" si="34"/>
        <v>0.33540639255512616</v>
      </c>
    </row>
    <row r="94" spans="1:14" s="39" customFormat="1" ht="15.75" customHeight="1">
      <c r="A94" s="91">
        <v>1</v>
      </c>
      <c r="B94" s="92">
        <v>72927</v>
      </c>
      <c r="C94" s="64" t="s">
        <v>230</v>
      </c>
      <c r="D94" s="93" t="s">
        <v>231</v>
      </c>
      <c r="E94" s="94" t="s">
        <v>76</v>
      </c>
      <c r="F94" s="95">
        <f>ROUND(8*2.8,2)</f>
        <v>22.4</v>
      </c>
      <c r="G94" s="96">
        <f t="shared" si="30"/>
        <v>15.15</v>
      </c>
      <c r="H94" s="107">
        <f t="shared" si="31"/>
        <v>10.1</v>
      </c>
      <c r="I94" s="97">
        <v>25.25</v>
      </c>
      <c r="J94" s="98">
        <f t="shared" si="35"/>
        <v>15.15</v>
      </c>
      <c r="K94" s="98">
        <f t="shared" si="35"/>
        <v>10.1</v>
      </c>
      <c r="L94" s="97">
        <f t="shared" si="32"/>
        <v>25.25</v>
      </c>
      <c r="M94" s="96">
        <f t="shared" si="33"/>
        <v>565.5999999999999</v>
      </c>
      <c r="N94" s="69">
        <f t="shared" si="34"/>
        <v>0.041369512249354576</v>
      </c>
    </row>
    <row r="95" spans="1:14" s="39" customFormat="1" ht="15.75" customHeight="1">
      <c r="A95" s="91">
        <v>1</v>
      </c>
      <c r="B95" s="108">
        <v>841</v>
      </c>
      <c r="C95" s="64" t="s">
        <v>232</v>
      </c>
      <c r="D95" s="93" t="s">
        <v>233</v>
      </c>
      <c r="E95" s="94" t="s">
        <v>96</v>
      </c>
      <c r="F95" s="95">
        <f>ROUND((4*31.5)+(4*30),2)</f>
        <v>246</v>
      </c>
      <c r="G95" s="96">
        <f t="shared" si="30"/>
        <v>9.85</v>
      </c>
      <c r="H95" s="107">
        <f t="shared" si="31"/>
        <v>6.56</v>
      </c>
      <c r="I95" s="97">
        <v>16.41</v>
      </c>
      <c r="J95" s="98">
        <f t="shared" si="35"/>
        <v>9.85</v>
      </c>
      <c r="K95" s="98">
        <f t="shared" si="35"/>
        <v>6.56</v>
      </c>
      <c r="L95" s="97">
        <f t="shared" si="32"/>
        <v>16.41</v>
      </c>
      <c r="M95" s="96">
        <f t="shared" si="33"/>
        <v>4036.86</v>
      </c>
      <c r="N95" s="69">
        <f t="shared" si="34"/>
        <v>0.2952668479825487</v>
      </c>
    </row>
    <row r="96" spans="1:14" s="39" customFormat="1" ht="15.75" customHeight="1">
      <c r="A96" s="91">
        <v>1</v>
      </c>
      <c r="B96" s="108">
        <v>396</v>
      </c>
      <c r="C96" s="64" t="s">
        <v>234</v>
      </c>
      <c r="D96" s="93" t="s">
        <v>235</v>
      </c>
      <c r="E96" s="94" t="s">
        <v>21</v>
      </c>
      <c r="F96" s="95">
        <f>ROUND((8*2.8)/0.6,)</f>
        <v>37</v>
      </c>
      <c r="G96" s="96">
        <f t="shared" si="30"/>
        <v>0.58</v>
      </c>
      <c r="H96" s="107">
        <f t="shared" si="31"/>
        <v>0.38</v>
      </c>
      <c r="I96" s="97">
        <v>0.96</v>
      </c>
      <c r="J96" s="98">
        <f t="shared" si="35"/>
        <v>0.58</v>
      </c>
      <c r="K96" s="98">
        <f t="shared" si="35"/>
        <v>0.38</v>
      </c>
      <c r="L96" s="97">
        <f t="shared" si="32"/>
        <v>0.96</v>
      </c>
      <c r="M96" s="96">
        <f t="shared" si="33"/>
        <v>35.519999999999996</v>
      </c>
      <c r="N96" s="69">
        <f t="shared" si="34"/>
        <v>0.0025980287749241063</v>
      </c>
    </row>
    <row r="97" spans="1:14" s="39" customFormat="1" ht="15.75" customHeight="1">
      <c r="A97" s="91">
        <v>1</v>
      </c>
      <c r="B97" s="108">
        <v>1543</v>
      </c>
      <c r="C97" s="64" t="s">
        <v>236</v>
      </c>
      <c r="D97" s="93" t="s">
        <v>237</v>
      </c>
      <c r="E97" s="94" t="s">
        <v>21</v>
      </c>
      <c r="F97" s="95">
        <v>8</v>
      </c>
      <c r="G97" s="96">
        <f t="shared" si="30"/>
        <v>2.11</v>
      </c>
      <c r="H97" s="107">
        <f t="shared" si="31"/>
        <v>1.41</v>
      </c>
      <c r="I97" s="97">
        <v>3.52</v>
      </c>
      <c r="J97" s="98">
        <f t="shared" si="35"/>
        <v>2.11</v>
      </c>
      <c r="K97" s="98">
        <f t="shared" si="35"/>
        <v>1.41</v>
      </c>
      <c r="L97" s="97">
        <f t="shared" si="32"/>
        <v>3.5199999999999996</v>
      </c>
      <c r="M97" s="96">
        <f t="shared" si="33"/>
        <v>28.159999999999997</v>
      </c>
      <c r="N97" s="69">
        <f t="shared" si="34"/>
        <v>0.0020596984882281203</v>
      </c>
    </row>
    <row r="98" spans="1:14" s="39" customFormat="1" ht="15.75" customHeight="1">
      <c r="A98" s="91">
        <v>1</v>
      </c>
      <c r="B98" s="108">
        <v>1538</v>
      </c>
      <c r="C98" s="64" t="s">
        <v>238</v>
      </c>
      <c r="D98" s="93" t="s">
        <v>239</v>
      </c>
      <c r="E98" s="94" t="s">
        <v>21</v>
      </c>
      <c r="F98" s="95">
        <v>24</v>
      </c>
      <c r="G98" s="96">
        <f t="shared" si="30"/>
        <v>3.43</v>
      </c>
      <c r="H98" s="107">
        <f t="shared" si="31"/>
        <v>2.29</v>
      </c>
      <c r="I98" s="97">
        <v>5.72</v>
      </c>
      <c r="J98" s="98">
        <f t="shared" si="35"/>
        <v>3.43</v>
      </c>
      <c r="K98" s="98">
        <f t="shared" si="35"/>
        <v>2.29</v>
      </c>
      <c r="L98" s="97">
        <f t="shared" si="32"/>
        <v>5.720000000000001</v>
      </c>
      <c r="M98" s="96">
        <f t="shared" si="33"/>
        <v>137.28000000000003</v>
      </c>
      <c r="N98" s="69">
        <f t="shared" si="34"/>
        <v>0.01004103013011209</v>
      </c>
    </row>
    <row r="99" spans="1:14" s="39" customFormat="1" ht="15.75" customHeight="1">
      <c r="A99" s="91">
        <v>1</v>
      </c>
      <c r="B99" s="108">
        <v>1598</v>
      </c>
      <c r="C99" s="64" t="s">
        <v>240</v>
      </c>
      <c r="D99" s="93" t="s">
        <v>241</v>
      </c>
      <c r="E99" s="94" t="s">
        <v>21</v>
      </c>
      <c r="F99" s="95">
        <v>12</v>
      </c>
      <c r="G99" s="96">
        <f t="shared" si="30"/>
        <v>3.09</v>
      </c>
      <c r="H99" s="107">
        <f t="shared" si="31"/>
        <v>2.06</v>
      </c>
      <c r="I99" s="97">
        <v>5.15</v>
      </c>
      <c r="J99" s="98">
        <f t="shared" si="35"/>
        <v>3.09</v>
      </c>
      <c r="K99" s="98">
        <f t="shared" si="35"/>
        <v>2.06</v>
      </c>
      <c r="L99" s="97">
        <f t="shared" si="32"/>
        <v>5.15</v>
      </c>
      <c r="M99" s="96">
        <f t="shared" si="33"/>
        <v>61.800000000000004</v>
      </c>
      <c r="N99" s="69">
        <f t="shared" si="34"/>
        <v>0.004520218983398361</v>
      </c>
    </row>
    <row r="100" spans="1:14" s="25" customFormat="1" ht="15.75" customHeight="1">
      <c r="A100" s="53"/>
      <c r="B100" s="109"/>
      <c r="C100" s="55"/>
      <c r="D100" s="159" t="s">
        <v>71</v>
      </c>
      <c r="E100" s="159"/>
      <c r="F100" s="159"/>
      <c r="G100" s="159"/>
      <c r="H100" s="159"/>
      <c r="I100" s="159"/>
      <c r="J100" s="159"/>
      <c r="K100" s="159"/>
      <c r="L100" s="160">
        <f>SUM(M89:M99)</f>
        <v>13671.904000000002</v>
      </c>
      <c r="M100" s="160"/>
      <c r="N100" s="57" t="e">
        <f>L100/L$113</f>
        <v>#REF!</v>
      </c>
    </row>
    <row r="101" spans="1:14" s="25" customFormat="1" ht="15.75" customHeight="1">
      <c r="A101" s="32"/>
      <c r="B101" s="36"/>
      <c r="C101" s="34" t="s">
        <v>242</v>
      </c>
      <c r="D101" s="35" t="s">
        <v>243</v>
      </c>
      <c r="E101" s="36"/>
      <c r="F101" s="44"/>
      <c r="G101" s="32"/>
      <c r="H101" s="32"/>
      <c r="I101" s="85"/>
      <c r="J101" s="86"/>
      <c r="K101" s="86"/>
      <c r="L101" s="85"/>
      <c r="M101" s="86"/>
      <c r="N101" s="86"/>
    </row>
    <row r="102" spans="1:14" s="39" customFormat="1" ht="15.75" customHeight="1">
      <c r="A102" s="32">
        <v>1</v>
      </c>
      <c r="B102" s="36">
        <v>79465</v>
      </c>
      <c r="C102" s="64" t="s">
        <v>244</v>
      </c>
      <c r="D102" s="40" t="s">
        <v>245</v>
      </c>
      <c r="E102" s="36" t="s">
        <v>55</v>
      </c>
      <c r="F102" s="44">
        <v>1242</v>
      </c>
      <c r="G102" s="66">
        <f>ROUND(I102*0.6,2)</f>
        <v>13.79</v>
      </c>
      <c r="H102" s="45">
        <f>ROUND(I102*0.4,2)</f>
        <v>9.19</v>
      </c>
      <c r="I102" s="67">
        <v>22.98</v>
      </c>
      <c r="J102" s="68">
        <f>ROUND((G102*L$7)+G102,2)</f>
        <v>17.24</v>
      </c>
      <c r="K102" s="68">
        <f>ROUND((H102*L$7)+H102,2)</f>
        <v>11.49</v>
      </c>
      <c r="L102" s="67">
        <f>J102+K102</f>
        <v>28.729999999999997</v>
      </c>
      <c r="M102" s="66">
        <f>L102*F102</f>
        <v>35682.659999999996</v>
      </c>
      <c r="N102" s="69">
        <f>M102/$L$105</f>
        <v>0.8272568030076517</v>
      </c>
    </row>
    <row r="103" spans="1:14" s="39" customFormat="1" ht="15.75" customHeight="1">
      <c r="A103" s="32">
        <v>1</v>
      </c>
      <c r="B103" s="36" t="s">
        <v>133</v>
      </c>
      <c r="C103" s="64" t="s">
        <v>246</v>
      </c>
      <c r="D103" s="40" t="s">
        <v>247</v>
      </c>
      <c r="E103" s="36" t="s">
        <v>55</v>
      </c>
      <c r="F103" s="44">
        <v>1.52</v>
      </c>
      <c r="G103" s="66">
        <f>ROUND(I103*0.6,2)</f>
        <v>7.2</v>
      </c>
      <c r="H103" s="45">
        <f>ROUND(I103*0.4,2)</f>
        <v>4.8</v>
      </c>
      <c r="I103" s="67">
        <v>12</v>
      </c>
      <c r="J103" s="68">
        <f>ROUND((G103*L$7)+G103,2)</f>
        <v>9</v>
      </c>
      <c r="K103" s="68">
        <f>ROUND((H103*L$7)+H103,2)</f>
        <v>6</v>
      </c>
      <c r="L103" s="67">
        <f>J103+K103</f>
        <v>15</v>
      </c>
      <c r="M103" s="66">
        <f>L103*F103</f>
        <v>22.8</v>
      </c>
      <c r="N103" s="69">
        <f>M103/$L$105</f>
        <v>0.0005285888190110957</v>
      </c>
    </row>
    <row r="104" spans="1:14" s="39" customFormat="1" ht="15.75" customHeight="1">
      <c r="A104" s="32">
        <v>1</v>
      </c>
      <c r="B104" s="36">
        <v>79467</v>
      </c>
      <c r="C104" s="64" t="s">
        <v>248</v>
      </c>
      <c r="D104" s="93" t="s">
        <v>249</v>
      </c>
      <c r="E104" s="36" t="s">
        <v>34</v>
      </c>
      <c r="F104" s="44">
        <v>718.4</v>
      </c>
      <c r="G104" s="66">
        <f>ROUND(I104*0.6,2)</f>
        <v>4.96</v>
      </c>
      <c r="H104" s="45">
        <f>ROUND(I104*0.4,2)</f>
        <v>3.31</v>
      </c>
      <c r="I104" s="67">
        <v>8.27</v>
      </c>
      <c r="J104" s="68">
        <f>ROUND((G104*L$7)+G104,2)</f>
        <v>6.2</v>
      </c>
      <c r="K104" s="68">
        <f>ROUND((H104*L$7)+H104,2)</f>
        <v>4.14</v>
      </c>
      <c r="L104" s="67">
        <f>J104+K104</f>
        <v>10.34</v>
      </c>
      <c r="M104" s="66">
        <f>L104*F104</f>
        <v>7428.255999999999</v>
      </c>
      <c r="N104" s="69">
        <f>M104/$L$105</f>
        <v>0.17221460817333706</v>
      </c>
    </row>
    <row r="105" spans="1:14" s="25" customFormat="1" ht="15.75" customHeight="1">
      <c r="A105" s="53"/>
      <c r="B105" s="109"/>
      <c r="C105" s="55"/>
      <c r="D105" s="159" t="s">
        <v>71</v>
      </c>
      <c r="E105" s="159"/>
      <c r="F105" s="159"/>
      <c r="G105" s="159"/>
      <c r="H105" s="159"/>
      <c r="I105" s="159"/>
      <c r="J105" s="159"/>
      <c r="K105" s="159"/>
      <c r="L105" s="160">
        <f>SUM(M102:M104)</f>
        <v>43133.716</v>
      </c>
      <c r="M105" s="160"/>
      <c r="N105" s="57" t="e">
        <f>L105/L$113</f>
        <v>#REF!</v>
      </c>
    </row>
    <row r="106" spans="1:14" s="25" customFormat="1" ht="15.75" customHeight="1">
      <c r="A106" s="32"/>
      <c r="B106" s="36"/>
      <c r="C106" s="34" t="s">
        <v>250</v>
      </c>
      <c r="D106" s="35" t="s">
        <v>19</v>
      </c>
      <c r="E106" s="36"/>
      <c r="F106" s="44"/>
      <c r="G106" s="32"/>
      <c r="H106" s="32"/>
      <c r="I106" s="85"/>
      <c r="J106" s="32"/>
      <c r="K106" s="32"/>
      <c r="L106" s="85"/>
      <c r="M106" s="32"/>
      <c r="N106" s="32"/>
    </row>
    <row r="107" spans="1:14" s="39" customFormat="1" ht="15.75" customHeight="1">
      <c r="A107" s="32">
        <v>1</v>
      </c>
      <c r="B107" s="36">
        <v>74243</v>
      </c>
      <c r="C107" s="64" t="s">
        <v>251</v>
      </c>
      <c r="D107" s="40" t="s">
        <v>252</v>
      </c>
      <c r="E107" s="36" t="s">
        <v>55</v>
      </c>
      <c r="F107" s="44">
        <f>F12</f>
        <v>2260</v>
      </c>
      <c r="G107" s="66">
        <f>ROUND(I107*0.6,2)</f>
        <v>0.91</v>
      </c>
      <c r="H107" s="45">
        <f>ROUND(I107*0.4,2)</f>
        <v>0.6</v>
      </c>
      <c r="I107" s="67">
        <v>1.51</v>
      </c>
      <c r="J107" s="68">
        <f>ROUND((G107*L$7)+G107,2)</f>
        <v>1.14</v>
      </c>
      <c r="K107" s="68">
        <f>ROUND((H107*L$7)+H107,2)</f>
        <v>0.75</v>
      </c>
      <c r="L107" s="67">
        <f>J107+K107</f>
        <v>1.89</v>
      </c>
      <c r="M107" s="66">
        <f>L107*F107</f>
        <v>4271.4</v>
      </c>
      <c r="N107" s="69">
        <f>M107/$L$111</f>
        <v>0.2340952362162002</v>
      </c>
    </row>
    <row r="108" spans="1:14" s="39" customFormat="1" ht="26.25" customHeight="1">
      <c r="A108" s="32">
        <v>1</v>
      </c>
      <c r="B108" s="36">
        <v>25398</v>
      </c>
      <c r="C108" s="64" t="s">
        <v>253</v>
      </c>
      <c r="D108" s="93" t="s">
        <v>20</v>
      </c>
      <c r="E108" s="36" t="s">
        <v>21</v>
      </c>
      <c r="F108" s="44">
        <v>2</v>
      </c>
      <c r="G108" s="66">
        <f>ROUND(I108*0.6,2)</f>
        <v>1258.75</v>
      </c>
      <c r="H108" s="45">
        <f>ROUND(I108*0.4,2)</f>
        <v>839.16</v>
      </c>
      <c r="I108" s="67">
        <v>2097.91</v>
      </c>
      <c r="J108" s="68">
        <f>ROUND((G108*L$7)+G108,2)</f>
        <v>1573.44</v>
      </c>
      <c r="K108" s="68">
        <f>ROUND((H108*L$7)+H108,2)</f>
        <v>1048.95</v>
      </c>
      <c r="L108" s="67">
        <f>J108+K108</f>
        <v>2622.3900000000003</v>
      </c>
      <c r="M108" s="66">
        <f>L108*F108</f>
        <v>5244.780000000001</v>
      </c>
      <c r="N108" s="69">
        <f>M108/$L$111</f>
        <v>0.2874415912820159</v>
      </c>
    </row>
    <row r="109" spans="1:14" s="39" customFormat="1" ht="15.75" customHeight="1">
      <c r="A109" s="32">
        <v>1</v>
      </c>
      <c r="B109" s="36">
        <v>25399</v>
      </c>
      <c r="C109" s="64" t="s">
        <v>254</v>
      </c>
      <c r="D109" s="40" t="s">
        <v>22</v>
      </c>
      <c r="E109" s="36" t="s">
        <v>21</v>
      </c>
      <c r="F109" s="44">
        <v>4</v>
      </c>
      <c r="G109" s="66">
        <f>ROUND(I109*0.6,2)</f>
        <v>764.17</v>
      </c>
      <c r="H109" s="45">
        <f>ROUND(I109*0.4,2)</f>
        <v>509.45</v>
      </c>
      <c r="I109" s="67">
        <v>1273.62</v>
      </c>
      <c r="J109" s="68">
        <f>ROUND((G109*L$7)+G109,2)</f>
        <v>955.21</v>
      </c>
      <c r="K109" s="68">
        <f>ROUND((H109*L$7)+H109,2)</f>
        <v>636.81</v>
      </c>
      <c r="L109" s="67">
        <f>J109+K109</f>
        <v>1592.02</v>
      </c>
      <c r="M109" s="66">
        <f>L109*F109</f>
        <v>6368.08</v>
      </c>
      <c r="N109" s="69">
        <f>M109/$L$111</f>
        <v>0.34900435263465385</v>
      </c>
    </row>
    <row r="110" spans="1:14" s="39" customFormat="1" ht="15.75" customHeight="1">
      <c r="A110" s="32">
        <v>1</v>
      </c>
      <c r="B110" s="36">
        <v>25400</v>
      </c>
      <c r="C110" s="64" t="s">
        <v>255</v>
      </c>
      <c r="D110" s="40" t="s">
        <v>256</v>
      </c>
      <c r="E110" s="36" t="s">
        <v>21</v>
      </c>
      <c r="F110" s="44">
        <v>2</v>
      </c>
      <c r="G110" s="66">
        <f>ROUND(I110*0.6,2)</f>
        <v>566.92</v>
      </c>
      <c r="H110" s="45">
        <f>ROUND(I110*0.4,2)</f>
        <v>377.94</v>
      </c>
      <c r="I110" s="67">
        <v>944.86</v>
      </c>
      <c r="J110" s="68">
        <f>ROUND((G110*L$7)+G110,2)</f>
        <v>708.65</v>
      </c>
      <c r="K110" s="68">
        <f>ROUND((H110*L$7)+H110,2)</f>
        <v>472.43</v>
      </c>
      <c r="L110" s="67">
        <f>J110+K110</f>
        <v>1181.08</v>
      </c>
      <c r="M110" s="66">
        <f>L110*F110</f>
        <v>2362.16</v>
      </c>
      <c r="N110" s="69">
        <f>M110/$L$111</f>
        <v>0.1294588198671301</v>
      </c>
    </row>
    <row r="111" spans="1:14" ht="15.75" customHeight="1">
      <c r="A111" s="53"/>
      <c r="B111" s="54"/>
      <c r="C111" s="55"/>
      <c r="D111" s="159" t="s">
        <v>71</v>
      </c>
      <c r="E111" s="159"/>
      <c r="F111" s="159"/>
      <c r="G111" s="159"/>
      <c r="H111" s="159"/>
      <c r="I111" s="159"/>
      <c r="J111" s="159"/>
      <c r="K111" s="159"/>
      <c r="L111" s="160">
        <f>SUM(M107:M110)</f>
        <v>18246.42</v>
      </c>
      <c r="M111" s="160"/>
      <c r="N111" s="57" t="e">
        <f>L111/L$113</f>
        <v>#REF!</v>
      </c>
    </row>
    <row r="112" spans="1:14" ht="15.75" customHeight="1">
      <c r="A112" s="110"/>
      <c r="B112" s="111"/>
      <c r="C112" s="112"/>
      <c r="D112" s="113"/>
      <c r="E112" s="114"/>
      <c r="F112" s="115"/>
      <c r="G112" s="116"/>
      <c r="H112" s="117"/>
      <c r="I112" s="67"/>
      <c r="J112" s="118"/>
      <c r="K112" s="118"/>
      <c r="L112" s="116"/>
      <c r="M112" s="116"/>
      <c r="N112" s="119"/>
    </row>
    <row r="113" spans="1:15" ht="17.25" customHeight="1">
      <c r="A113" s="120"/>
      <c r="B113" s="121"/>
      <c r="C113" s="122"/>
      <c r="D113" s="163" t="s">
        <v>257</v>
      </c>
      <c r="E113" s="163"/>
      <c r="F113" s="163"/>
      <c r="G113" s="163"/>
      <c r="H113" s="163"/>
      <c r="I113" s="163"/>
      <c r="J113" s="163"/>
      <c r="K113" s="163"/>
      <c r="L113" s="164" t="e">
        <f>L111+L105+L100+L87+L65+L50+L41+L32+L18</f>
        <v>#REF!</v>
      </c>
      <c r="M113" s="164"/>
      <c r="N113" s="123" t="e">
        <f>N111+N105+N100+N87+N65+N50+N41+N32+N18</f>
        <v>#REF!</v>
      </c>
      <c r="O113" s="102" t="e">
        <f>M36/L113</f>
        <v>#REF!</v>
      </c>
    </row>
    <row r="114" spans="3:6" ht="15.75" customHeight="1">
      <c r="C114" s="124"/>
      <c r="D114" s="125"/>
      <c r="E114" s="124"/>
      <c r="F114" s="125"/>
    </row>
    <row r="115" spans="1:13" ht="15.75" customHeight="1">
      <c r="A115" s="125"/>
      <c r="B115" s="126"/>
      <c r="C115" s="124" t="s">
        <v>258</v>
      </c>
      <c r="D115" s="125"/>
      <c r="E115" s="124"/>
      <c r="F115" s="125"/>
      <c r="G115" s="125"/>
      <c r="H115" s="127"/>
      <c r="I115" s="128"/>
      <c r="J115" s="127"/>
      <c r="K115" s="127"/>
      <c r="L115" s="127"/>
      <c r="M115" s="129"/>
    </row>
    <row r="119" ht="15.75" customHeight="1"/>
    <row r="120" ht="15.75" customHeight="1"/>
    <row r="121" ht="15.75" customHeight="1"/>
    <row r="122" ht="15.75" customHeight="1"/>
    <row r="65536" ht="12.75" customHeight="1"/>
  </sheetData>
  <sheetProtection selectLockedCells="1" selectUnlockedCells="1"/>
  <mergeCells count="46">
    <mergeCell ref="D105:K105"/>
    <mergeCell ref="L105:M105"/>
    <mergeCell ref="D111:K111"/>
    <mergeCell ref="L111:M111"/>
    <mergeCell ref="D113:K113"/>
    <mergeCell ref="L113:M113"/>
    <mergeCell ref="D65:K65"/>
    <mergeCell ref="L65:M65"/>
    <mergeCell ref="D87:K87"/>
    <mergeCell ref="L87:M87"/>
    <mergeCell ref="D100:K100"/>
    <mergeCell ref="L100:M100"/>
    <mergeCell ref="D41:K41"/>
    <mergeCell ref="L41:M41"/>
    <mergeCell ref="A49:N49"/>
    <mergeCell ref="D50:K50"/>
    <mergeCell ref="L50:M50"/>
    <mergeCell ref="A64:N64"/>
    <mergeCell ref="M9:M10"/>
    <mergeCell ref="N9:N10"/>
    <mergeCell ref="D18:K18"/>
    <mergeCell ref="L18:M18"/>
    <mergeCell ref="D32:K32"/>
    <mergeCell ref="L32:M32"/>
    <mergeCell ref="C7:D7"/>
    <mergeCell ref="E7:J7"/>
    <mergeCell ref="A8:N8"/>
    <mergeCell ref="A9:B10"/>
    <mergeCell ref="C9:C10"/>
    <mergeCell ref="D9:D10"/>
    <mergeCell ref="E9:E10"/>
    <mergeCell ref="F9:F10"/>
    <mergeCell ref="G9:I9"/>
    <mergeCell ref="J9:L9"/>
    <mergeCell ref="C5:D5"/>
    <mergeCell ref="E5:J5"/>
    <mergeCell ref="K5:N5"/>
    <mergeCell ref="C6:D6"/>
    <mergeCell ref="E6:J6"/>
    <mergeCell ref="K6:N6"/>
    <mergeCell ref="A1:N1"/>
    <mergeCell ref="A2:N2"/>
    <mergeCell ref="A3:N3"/>
    <mergeCell ref="C4:D4"/>
    <mergeCell ref="E4:J4"/>
    <mergeCell ref="K4:N4"/>
  </mergeCells>
  <printOptions horizontalCentered="1" verticalCentered="1"/>
  <pageMargins left="0.9840277777777777" right="0.5902777777777778" top="0.9840277777777777" bottom="0.5902777777777778" header="0.5118055555555555" footer="0.5118055555555555"/>
  <pageSetup fitToHeight="3" fitToWidth="1" horizontalDpi="300" verticalDpi="300" orientation="landscape" paperSize="9"/>
  <rowBreaks count="8" manualBreakCount="8">
    <brk id="32" max="255" man="1"/>
    <brk id="49" max="255" man="1"/>
    <brk id="50" max="255" man="1"/>
    <brk id="58" max="255" man="1"/>
    <brk id="61" max="255" man="1"/>
    <brk id="64" max="255" man="1"/>
    <brk id="65" max="255" man="1"/>
    <brk id="17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camila.ferreira</cp:lastModifiedBy>
  <dcterms:created xsi:type="dcterms:W3CDTF">2015-04-06T17:35:08Z</dcterms:created>
  <dcterms:modified xsi:type="dcterms:W3CDTF">2015-04-06T17:35:09Z</dcterms:modified>
  <cp:category/>
  <cp:version/>
  <cp:contentType/>
  <cp:contentStatus/>
</cp:coreProperties>
</file>